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tables/table1.xml" ContentType="application/vnd.openxmlformats-officedocument.spreadsheetml.table+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M:\A_Location_abordable\B_Loyer_abordable\Calculatrice Excel Loyer abordable\"/>
    </mc:Choice>
  </mc:AlternateContent>
  <xr:revisionPtr revIDLastSave="0" documentId="8_{F94FB1A2-1BB6-468F-B86C-3CCCC1D716D2}" xr6:coauthVersionLast="47" xr6:coauthVersionMax="47" xr10:uidLastSave="{00000000-0000-0000-0000-000000000000}"/>
  <bookViews>
    <workbookView xWindow="28680" yWindow="2880" windowWidth="29040" windowHeight="15720" xr2:uid="{00000000-000D-0000-FFFF-FFFF00000000}"/>
  </bookViews>
  <sheets>
    <sheet name="Calcul du loyer indexé" sheetId="11" r:id="rId1"/>
    <sheet name="Calcul RND" sheetId="12" r:id="rId2"/>
    <sheet name="Settings" sheetId="1" state="hidden" r:id="rId3"/>
    <sheet name="Barême Loi" sheetId="6" state="hidden" r:id="rId4"/>
    <sheet name="Indice A1" sheetId="10" state="hidden" r:id="rId5"/>
  </sheets>
  <externalReferences>
    <externalReference r:id="rId6"/>
  </externalReferences>
  <definedNames>
    <definedName name="\X" localSheetId="0">#REF!</definedName>
    <definedName name="\X">#REF!</definedName>
    <definedName name="_ech1">'Indice A1'!$A$102</definedName>
    <definedName name="ANNEE_PROF_B" localSheetId="1">'Calcul RND'!$B$37</definedName>
    <definedName name="ANNEE_PROF_B">#REF!</definedName>
    <definedName name="ANNEE_PROF_C" localSheetId="1">'Calcul RND'!$B$50</definedName>
    <definedName name="ANNEE_PROF_C">#REF!</definedName>
    <definedName name="ANNEE_PROF_D" localSheetId="1">'Calcul RND'!$B$63</definedName>
    <definedName name="ANNEE_PROF_D">#REF!</definedName>
    <definedName name="data">#REF!</definedName>
    <definedName name="data_CSide">OFFSET([1]PivDterrh!$A$2,0,0,COUNTA([1]PivDterrh!$A:$A)-1,COUNTA([1]PivDterrh!$1:$1))</definedName>
    <definedName name="data_CSide_etr">OFFSET([1]PivDetr!$A$2,0,0,COUNTA([1]PivDetr!$A:$A)-1,COUNTA([1]PivDetr!$1:$1))</definedName>
    <definedName name="data_CSide_etr_tit">OFFSET([1]PivDetr!$A$1,0,0,1,COUNTA([1]PivDetr!$1:$1))</definedName>
    <definedName name="data_CSide_lux">OFFSET([1]PivDlux!$A$2,0,0,COUNTA([1]PivDlux!$A:$A)-1,COUNTA([1]PivDlux!$1:$1))</definedName>
    <definedName name="data_CSide_lux_tit">OFFSET([1]PivDlux!$A$1,0,0,1,COUNTA([1]PivDlux!$1:$1))</definedName>
    <definedName name="data_CSide_nat">OFFSET([1]PivDnath!$A$2,0,0,COUNTA([1]PivDnath!$A:$A)-1,COUNTA([1]PivDnath!$1:$1))</definedName>
    <definedName name="data_CSide_nat_tit">OFFSET([1]PivDnath!$A$1,0,0,1,COUNTA([1]PivDnath!$1:$1))</definedName>
    <definedName name="data_CSide_tit">OFFSET([1]PivDterrh!$A$1,0,0,1,COUNTA([1]PivDterrh!$1:$1))</definedName>
    <definedName name="data_tit">#REF!</definedName>
    <definedName name="ech">'Indice A1'!$A$51:$P$83</definedName>
    <definedName name="ECHMOB">'Indice A1'!$A$51</definedName>
    <definedName name="fr_1948">'Indice A1'!$C$31:$P$50</definedName>
    <definedName name="fr_2005">'Indice A1'!$C$6:$P$30</definedName>
    <definedName name="fr_ech">'Indice A1'!$A$51:$P$77</definedName>
    <definedName name="fr_inf">'Indice A1'!$A$5:$B$50</definedName>
    <definedName name="INTERVENANT_A" localSheetId="1">'Calcul RND'!$B$14</definedName>
    <definedName name="INTERVENANT_A">#REF!</definedName>
    <definedName name="INTERVENANT_B" localSheetId="1">'Calcul RND'!$B$27</definedName>
    <definedName name="INTERVENANT_B">#REF!</definedName>
    <definedName name="INTERVENANT_C" localSheetId="1">'Calcul RND'!$B$40</definedName>
    <definedName name="INTERVENANT_C">#REF!</definedName>
    <definedName name="INTERVENANT_D" localSheetId="1">'Calcul RND'!$B$53</definedName>
    <definedName name="INTERVENANT_D">#REF!</definedName>
    <definedName name="NOMBRE_ENFANTS" localSheetId="1">'Calcul RND'!$C$11</definedName>
    <definedName name="NOMBRE_ENFANTS">#REF!</definedName>
    <definedName name="_xlnm.Print_Area" localSheetId="3">'Barême Loi'!$H$4:$L$19</definedName>
    <definedName name="_xlnm.Print_Area" localSheetId="0">'Calcul du loyer indexé'!$A$1:$F$56</definedName>
    <definedName name="_xlnm.Print_Area" localSheetId="1">'Calcul RND'!$B$2:$J$63</definedName>
    <definedName name="_xlnm.Print_Area" localSheetId="4">'Indice A1'!$A$1:$P$87</definedName>
    <definedName name="REVENUS_A" localSheetId="1">'Calcul RND'!$C$17:$D$19,'Calcul RND'!$C$21:$D$22</definedName>
    <definedName name="REVENUS_A">#REF!,#REF!</definedName>
    <definedName name="REVENUS_B" localSheetId="1">'Calcul RND'!$C$30:$D$32,'Calcul RND'!$C$34:$D$35</definedName>
    <definedName name="REVENUS_B">#REF!,#REF!</definedName>
    <definedName name="REVENUS_C" localSheetId="1">'Calcul RND'!$C$43:$D$45,'Calcul RND'!$C$47:$D$48</definedName>
    <definedName name="REVENUS_C">#REF!,#REF!</definedName>
    <definedName name="REVENUS_D" localSheetId="1">'Calcul RND'!$C$56:$D$58,'Calcul RND'!$C$60:$D$61</definedName>
    <definedName name="REVENUS_D">#REF!,#REF!</definedName>
    <definedName name="TYPE_COMMUNAUTE" localSheetId="1">'Calcul RND'!$C$10</definedName>
    <definedName name="TYPE_COMMUNAU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1" l="1"/>
  <c r="D24" i="6"/>
  <c r="I4" i="6"/>
  <c r="E20" i="11"/>
  <c r="C31" i="1"/>
  <c r="C30" i="1"/>
  <c r="C11" i="1"/>
  <c r="D25" i="6"/>
  <c r="F103" i="1"/>
  <c r="F102" i="1"/>
  <c r="F94" i="1"/>
  <c r="F86" i="1"/>
  <c r="F78" i="1"/>
  <c r="F70" i="1"/>
  <c r="F69" i="1"/>
  <c r="F13" i="1"/>
  <c r="F12" i="1"/>
  <c r="F11" i="1"/>
  <c r="F10" i="1"/>
  <c r="F9" i="1"/>
  <c r="F8" i="1"/>
  <c r="F7" i="1"/>
  <c r="C48" i="6"/>
  <c r="C47" i="6"/>
  <c r="C46" i="6"/>
  <c r="C45" i="6"/>
  <c r="C44" i="6"/>
  <c r="C43" i="6"/>
  <c r="C42" i="6"/>
  <c r="I2" i="1" l="1"/>
  <c r="F95" i="1"/>
  <c r="F96" i="1" s="1"/>
  <c r="F97" i="1" s="1"/>
  <c r="F98" i="1" s="1"/>
  <c r="F99" i="1" s="1"/>
  <c r="F100" i="1" s="1"/>
  <c r="F101" i="1" s="1"/>
  <c r="F87" i="1"/>
  <c r="F88" i="1" s="1"/>
  <c r="F89" i="1" s="1"/>
  <c r="F90" i="1" s="1"/>
  <c r="F91" i="1" s="1"/>
  <c r="F92" i="1" s="1"/>
  <c r="F93" i="1" s="1"/>
  <c r="F79" i="1"/>
  <c r="F80" i="1" s="1"/>
  <c r="F81" i="1" s="1"/>
  <c r="F82" i="1" s="1"/>
  <c r="F83" i="1" s="1"/>
  <c r="F84" i="1" s="1"/>
  <c r="F85" i="1" s="1"/>
  <c r="F71" i="1"/>
  <c r="F72" i="1" s="1"/>
  <c r="F73" i="1" s="1"/>
  <c r="F74" i="1" s="1"/>
  <c r="F75" i="1" s="1"/>
  <c r="F76" i="1" s="1"/>
  <c r="F77" i="1" s="1"/>
  <c r="D56" i="11" l="1"/>
  <c r="E13" i="11"/>
  <c r="E25" i="1" l="1"/>
  <c r="E24" i="1"/>
  <c r="E26" i="1" s="1"/>
  <c r="G45" i="1" l="1"/>
  <c r="G46" i="1" s="1"/>
  <c r="G47" i="1" s="1"/>
  <c r="G48" i="1" s="1"/>
  <c r="C24" i="6"/>
  <c r="E33" i="6"/>
  <c r="E32" i="6"/>
  <c r="E31" i="6"/>
  <c r="E30" i="6"/>
  <c r="E29" i="6"/>
  <c r="E19" i="12"/>
  <c r="E61" i="12"/>
  <c r="E60" i="12"/>
  <c r="E58" i="12"/>
  <c r="E57" i="12"/>
  <c r="E56" i="12"/>
  <c r="E62" i="12" s="1"/>
  <c r="E63" i="12" s="1"/>
  <c r="I14" i="12" s="1"/>
  <c r="E48" i="12"/>
  <c r="E47" i="12"/>
  <c r="E45" i="12"/>
  <c r="E44" i="12"/>
  <c r="E43" i="12"/>
  <c r="E35" i="12"/>
  <c r="E34" i="12"/>
  <c r="E32" i="12"/>
  <c r="E31" i="12"/>
  <c r="E30" i="12"/>
  <c r="E22" i="12"/>
  <c r="E21" i="12"/>
  <c r="E18" i="12"/>
  <c r="E17" i="12"/>
  <c r="H14" i="12"/>
  <c r="J14" i="12" s="1"/>
  <c r="H13" i="12"/>
  <c r="J13" i="12" s="1"/>
  <c r="H12" i="12"/>
  <c r="J12" i="12" s="1"/>
  <c r="H11" i="12"/>
  <c r="J11" i="12" s="1"/>
  <c r="J34" i="12" l="1"/>
  <c r="E49" i="12"/>
  <c r="E50" i="12" s="1"/>
  <c r="I13" i="12" s="1"/>
  <c r="E36" i="12"/>
  <c r="E37" i="12" s="1"/>
  <c r="I12" i="12" s="1"/>
  <c r="E23" i="12"/>
  <c r="E24" i="12" s="1"/>
  <c r="I11" i="12" s="1"/>
  <c r="H25" i="12" l="1"/>
  <c r="E43" i="11" s="1"/>
  <c r="H30" i="12" l="1"/>
  <c r="E17" i="11"/>
  <c r="L17" i="6"/>
  <c r="L16" i="6"/>
  <c r="L15" i="6"/>
  <c r="L14" i="6"/>
  <c r="L13" i="6"/>
  <c r="L12" i="6"/>
  <c r="L11" i="6"/>
  <c r="L10" i="6"/>
  <c r="L9" i="6"/>
  <c r="E41" i="11" l="1"/>
  <c r="I37" i="11" s="1"/>
  <c r="D41" i="11"/>
  <c r="H37" i="11" s="1"/>
  <c r="F41" i="11"/>
  <c r="D33" i="6"/>
  <c r="K19" i="6"/>
  <c r="J19" i="6"/>
  <c r="K16" i="6"/>
  <c r="I14" i="6"/>
  <c r="J11" i="6"/>
  <c r="I19" i="6"/>
  <c r="J16" i="6"/>
  <c r="K13" i="6"/>
  <c r="I11" i="6"/>
  <c r="K18" i="6"/>
  <c r="I16" i="6"/>
  <c r="J13" i="6"/>
  <c r="K10" i="6"/>
  <c r="J18" i="6"/>
  <c r="I13" i="6"/>
  <c r="J10" i="6"/>
  <c r="J15" i="6"/>
  <c r="K12" i="6"/>
  <c r="I10" i="6"/>
  <c r="K17" i="6"/>
  <c r="I15" i="6"/>
  <c r="J12" i="6"/>
  <c r="K9" i="6"/>
  <c r="J17" i="6"/>
  <c r="K14" i="6"/>
  <c r="I12" i="6"/>
  <c r="J9" i="6"/>
  <c r="I17" i="6"/>
  <c r="K11" i="6"/>
  <c r="I9" i="6"/>
  <c r="K15" i="6"/>
  <c r="J14" i="6"/>
  <c r="I18" i="6"/>
  <c r="E45" i="11" l="1"/>
  <c r="E47" i="11" s="1"/>
  <c r="E49" i="11" s="1"/>
  <c r="D27" i="6"/>
  <c r="D32" i="6"/>
  <c r="D28" i="6"/>
  <c r="D29" i="6"/>
  <c r="D30" i="6"/>
  <c r="E54" i="11" s="1"/>
  <c r="D31" i="6"/>
  <c r="I38" i="11"/>
  <c r="H38" i="11" l="1"/>
  <c r="E51" i="11" l="1"/>
  <c r="E52" i="11"/>
  <c r="J37" i="11"/>
  <c r="E56" i="11" l="1"/>
  <c r="J38" i="11"/>
  <c r="K38" i="11" s="1"/>
  <c r="K37" i="11"/>
  <c r="E44" i="1" l="1"/>
  <c r="E45" i="1" s="1"/>
  <c r="E46" i="1" s="1"/>
  <c r="E47" i="1" s="1"/>
  <c r="G5" i="1" l="1"/>
  <c r="J36" i="12" s="1"/>
  <c r="G7" i="1" l="1"/>
  <c r="G102" i="1"/>
  <c r="G94" i="1"/>
  <c r="G86" i="1"/>
  <c r="G78" i="1"/>
  <c r="G70" i="1"/>
  <c r="G69" i="1"/>
  <c r="H24" i="1" s="1"/>
  <c r="G67" i="1"/>
  <c r="G103" i="1"/>
  <c r="G12" i="1"/>
  <c r="G13" i="1"/>
  <c r="G8" i="1"/>
  <c r="G9" i="1"/>
  <c r="G10" i="1"/>
  <c r="G11" i="1"/>
  <c r="G71" i="1" l="1"/>
  <c r="G72" i="1" s="1"/>
  <c r="G73" i="1" s="1"/>
  <c r="G74" i="1" s="1"/>
  <c r="G75" i="1" s="1"/>
  <c r="G76" i="1" s="1"/>
  <c r="G77" i="1" s="1"/>
  <c r="G79" i="1"/>
  <c r="G80" i="1" s="1"/>
  <c r="G81" i="1" s="1"/>
  <c r="G82" i="1" s="1"/>
  <c r="G83" i="1" s="1"/>
  <c r="G84" i="1" s="1"/>
  <c r="G85" i="1" s="1"/>
  <c r="G87" i="1"/>
  <c r="G88" i="1" s="1"/>
  <c r="G89" i="1" s="1"/>
  <c r="G90" i="1" s="1"/>
  <c r="G91" i="1" s="1"/>
  <c r="G92" i="1" s="1"/>
  <c r="G93" i="1" s="1"/>
  <c r="G95" i="1"/>
  <c r="G96" i="1" s="1"/>
  <c r="G97" i="1" s="1"/>
  <c r="G98" i="1" s="1"/>
  <c r="G99" i="1" s="1"/>
  <c r="G100" i="1" s="1"/>
  <c r="G101" i="1" s="1"/>
  <c r="J35" i="12"/>
  <c r="J4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tc={FBEC846E-0943-4DD7-B564-234EA662487B}</author>
  </authors>
  <commentList>
    <comment ref="C22" authorId="0" shapeId="0" xr:uid="{FBEC846E-0943-4DD7-B564-234EA662487B}">
      <text>
        <t>[Threaded comment]
Your version of Excel allows you to read this threaded comment; however, any edits to it will get removed if the file is opened in a newer version of Excel. Learn more: https://go.microsoft.com/fwlink/?linkid=870924
Comment:
    Si Revenu moyen N-1 utilisé -&gt; RND comparé avec l'indice moyen N-1
Si Dernier revenu connu utilisé -&gt; RND comparé avec le dernier indice disponible</t>
      </text>
    </comment>
  </commentList>
</comments>
</file>

<file path=xl/sharedStrings.xml><?xml version="1.0" encoding="utf-8"?>
<sst xmlns="http://schemas.openxmlformats.org/spreadsheetml/2006/main" count="462" uniqueCount="330">
  <si>
    <t>Type Projet</t>
  </si>
  <si>
    <t>Indice</t>
  </si>
  <si>
    <t>Type communauté domestique</t>
  </si>
  <si>
    <t>Personne seule</t>
  </si>
  <si>
    <t>Communauté dom. SANS enfant</t>
  </si>
  <si>
    <t>Communauté dom. AVEC enfant(s)</t>
  </si>
  <si>
    <t>Tableaux Logement ABORDABLE</t>
  </si>
  <si>
    <t>Limites calculées</t>
  </si>
  <si>
    <t>- - -</t>
  </si>
  <si>
    <t>Demandeur A</t>
  </si>
  <si>
    <t>Montants connus</t>
  </si>
  <si>
    <t>Mensuel</t>
  </si>
  <si>
    <t>Annuel</t>
  </si>
  <si>
    <t>Sélection faite</t>
  </si>
  <si>
    <t>Typologies ménage</t>
  </si>
  <si>
    <t>LogAbo</t>
  </si>
  <si>
    <t>Types revenu</t>
  </si>
  <si>
    <t>Occup. Salariée</t>
  </si>
  <si>
    <t>Chômage</t>
  </si>
  <si>
    <t>Revis</t>
  </si>
  <si>
    <t>Rpgh</t>
  </si>
  <si>
    <t>Pension</t>
  </si>
  <si>
    <t>Rente alim. perso.</t>
  </si>
  <si>
    <t>Rente alim. enf.</t>
  </si>
  <si>
    <t>Congé parental</t>
  </si>
  <si>
    <t>Autre</t>
  </si>
  <si>
    <t>(sélectionner type revenu)</t>
  </si>
  <si>
    <t>Allocations familiales</t>
  </si>
  <si>
    <t>Evaluation</t>
  </si>
  <si>
    <t>Revenus</t>
  </si>
  <si>
    <t>Revenu annuel (extrapolé)</t>
  </si>
  <si>
    <t>Revenu mensuel moyen</t>
  </si>
  <si>
    <t>annuelle</t>
  </si>
  <si>
    <t>Taux revenu pris en compte</t>
  </si>
  <si>
    <t>Année 1</t>
  </si>
  <si>
    <t>Année 2</t>
  </si>
  <si>
    <t>Année 3</t>
  </si>
  <si>
    <t>Types intervenant</t>
  </si>
  <si>
    <t>Demandeur B</t>
  </si>
  <si>
    <t>Enfant</t>
  </si>
  <si>
    <t>Indice utilisé</t>
  </si>
  <si>
    <t>Intervenant</t>
  </si>
  <si>
    <t>Taux</t>
  </si>
  <si>
    <t>Revenu</t>
  </si>
  <si>
    <t>Vérification de l'éligibilité</t>
  </si>
  <si>
    <t>Récapitulatif des revenus mensuels</t>
  </si>
  <si>
    <t>Typologie et revenus de la communauté domestique</t>
  </si>
  <si>
    <t>Indices</t>
  </si>
  <si>
    <t>Date</t>
  </si>
  <si>
    <t>Mise en vigueur</t>
  </si>
  <si>
    <t>Rente alim. pour enfants</t>
  </si>
  <si>
    <t>Rente alim. personnelle</t>
  </si>
  <si>
    <t>non applicable</t>
  </si>
  <si>
    <t>Année 4+</t>
  </si>
  <si>
    <t>Dépenses à déduire</t>
  </si>
  <si>
    <t>Année vie professionnelle *</t>
  </si>
  <si>
    <t>Type communauté domest.</t>
  </si>
  <si>
    <t>Le présent calcul ne vaut pas certificat d'éligibilité. Il est destiné aux seules fins d'instruction du dossier et de simulation.</t>
  </si>
  <si>
    <t>Remarque concernant les enfants qui disposent d'un revenu:</t>
  </si>
  <si>
    <t>Adultes</t>
  </si>
  <si>
    <t xml:space="preserve">Enfants </t>
  </si>
  <si>
    <t xml:space="preserve">comprenant : </t>
  </si>
  <si>
    <t xml:space="preserve">Revenu mensuel </t>
  </si>
  <si>
    <t xml:space="preserve">(euros) </t>
  </si>
  <si>
    <t xml:space="preserve">enfant supplémentaire </t>
  </si>
  <si>
    <t>2 adultes – 0 enfant</t>
  </si>
  <si>
    <t>2 adultes - 1 enfant</t>
  </si>
  <si>
    <t>2 adultes - 2 enfants</t>
  </si>
  <si>
    <t>enfant supplémentaire</t>
  </si>
  <si>
    <t>Adulte supplémentaire</t>
  </si>
  <si>
    <t xml:space="preserve">1 adulte </t>
  </si>
  <si>
    <t xml:space="preserve">1 adulte – 1 enfant </t>
  </si>
  <si>
    <t xml:space="preserve">1 adulte – 2 enfants </t>
  </si>
  <si>
    <t xml:space="preserve">1 adulte – 3 enfants </t>
  </si>
  <si>
    <t>Revenu mensuel</t>
  </si>
  <si>
    <t>Seuil de faible revenu</t>
  </si>
  <si>
    <t>Seuil du taux d'effort maximal</t>
  </si>
  <si>
    <t>Seuil du plafond du loyer</t>
  </si>
  <si>
    <t>Type de communauté domestique</t>
  </si>
  <si>
    <t>2 adultes - 3 enfants</t>
  </si>
  <si>
    <t>Seuil d'éligibilité</t>
  </si>
  <si>
    <t xml:space="preserve">2 adultes – 0 enfant </t>
  </si>
  <si>
    <t>1 ou 2 adultes – 1 enfant</t>
  </si>
  <si>
    <t>1 ou 2 adultes – 2 enfants</t>
  </si>
  <si>
    <t>1 ou 2 adultes – 3 enfants</t>
  </si>
  <si>
    <t xml:space="preserve">Enfant supplémentaire </t>
  </si>
  <si>
    <t xml:space="preserve">Adulte supplémentaire </t>
  </si>
  <si>
    <t xml:space="preserve">Plafond </t>
  </si>
  <si>
    <t xml:space="preserve">d'éligibilité </t>
  </si>
  <si>
    <t>Paramètres de calcul du loyer</t>
  </si>
  <si>
    <t xml:space="preserve">Composition de la communauté domestique </t>
  </si>
  <si>
    <t>Revenu net disponible mensuel de la communauté domestique</t>
  </si>
  <si>
    <t>Loyer brut</t>
  </si>
  <si>
    <t xml:space="preserve">Définition enfant : enfant à charge </t>
  </si>
  <si>
    <t xml:space="preserve">Enfants de plus de 14 ans </t>
  </si>
  <si>
    <t xml:space="preserve">Enfants de moins de 14 ans </t>
  </si>
  <si>
    <t>IPCN - Séries rétrospectives</t>
  </si>
  <si>
    <t>A. INFLATION
 ANNUELLE
 EN %</t>
  </si>
  <si>
    <t>Année</t>
  </si>
  <si>
    <t>Janvier</t>
  </si>
  <si>
    <t>Février</t>
  </si>
  <si>
    <t>Mars</t>
  </si>
  <si>
    <t>Avril</t>
  </si>
  <si>
    <t>Mai</t>
  </si>
  <si>
    <t>Juin</t>
  </si>
  <si>
    <t>Juillet</t>
  </si>
  <si>
    <t>Août</t>
  </si>
  <si>
    <t>Sep-
tembre</t>
  </si>
  <si>
    <t>Octobre</t>
  </si>
  <si>
    <t>No-
vembre</t>
  </si>
  <si>
    <t>Dé-
cembre</t>
  </si>
  <si>
    <t>Moyenne
annuelle</t>
  </si>
  <si>
    <t>B. INDICE BASE 100 EN 2015</t>
  </si>
  <si>
    <t>B1. Indice général</t>
  </si>
  <si>
    <t>1990/89</t>
  </si>
  <si>
    <t>1991/90</t>
  </si>
  <si>
    <t>1992/91</t>
  </si>
  <si>
    <t>1993/92</t>
  </si>
  <si>
    <t>1994/93</t>
  </si>
  <si>
    <t>1995/94</t>
  </si>
  <si>
    <t>B2. Taux de variation mensuel en %  (par rapport au mois précédent)</t>
  </si>
  <si>
    <t>1996/95</t>
  </si>
  <si>
    <t>1997/96</t>
  </si>
  <si>
    <t>1998/97</t>
  </si>
  <si>
    <t>1999/98</t>
  </si>
  <si>
    <t>2000/99</t>
  </si>
  <si>
    <t>2001/00</t>
  </si>
  <si>
    <t>2002/01</t>
  </si>
  <si>
    <t>B3. Taux de variation sur 12 mois en %   (par rapport au mois correspondant de l'année précédente)</t>
  </si>
  <si>
    <t>2003/02</t>
  </si>
  <si>
    <t>2020/19</t>
  </si>
  <si>
    <t>2004/03</t>
  </si>
  <si>
    <t>2021/20</t>
  </si>
  <si>
    <t>2005/04</t>
  </si>
  <si>
    <t>2022/21</t>
  </si>
  <si>
    <t>2006/05</t>
  </si>
  <si>
    <t>2023/22</t>
  </si>
  <si>
    <t>2007/06</t>
  </si>
  <si>
    <t>2008/07</t>
  </si>
  <si>
    <t>C. INDICE BASE 100 AU 1.1.1948</t>
  </si>
  <si>
    <t>2009/08</t>
  </si>
  <si>
    <t>2010/09</t>
  </si>
  <si>
    <t xml:space="preserve">C1. Indice général raccordé à la base 1.1.1948 </t>
  </si>
  <si>
    <t>2011/10</t>
  </si>
  <si>
    <t>2012/11</t>
  </si>
  <si>
    <t>2013/12</t>
  </si>
  <si>
    <t>2014/13</t>
  </si>
  <si>
    <t>2015/14</t>
  </si>
  <si>
    <t>2016/15</t>
  </si>
  <si>
    <t>2017/16</t>
  </si>
  <si>
    <t xml:space="preserve">C2. Moyenne semestrielle des indices raccordés à la base 1.1.1948 </t>
  </si>
  <si>
    <t>2018/17</t>
  </si>
  <si>
    <t>2019/18</t>
  </si>
  <si>
    <t>D. ÉCHELLE MOBILE DES SALAIRES</t>
  </si>
  <si>
    <t>D1. Cotes, pourcentages d'augmentation et dates d'application</t>
  </si>
  <si>
    <t>D2. Augmentations moyennes des salaires dues à l'échelle mobile</t>
  </si>
  <si>
    <t>Cotes 
d'adaptation</t>
  </si>
  <si>
    <t>Augmen-
tation 
en %</t>
  </si>
  <si>
    <t>Dates 
d'application</t>
  </si>
  <si>
    <t>Cotes 
d'éché-
ance</t>
  </si>
  <si>
    <t>Cotes 
d'appli-
cation</t>
  </si>
  <si>
    <t>Cote 
moyenne</t>
  </si>
  <si>
    <t>Hausse 
des salaires 
en %</t>
  </si>
  <si>
    <t>392.18</t>
  </si>
  <si>
    <t>2.5</t>
  </si>
  <si>
    <t>1.09.1983</t>
  </si>
  <si>
    <t>1.08.1992</t>
  </si>
  <si>
    <t>401.98</t>
  </si>
  <si>
    <t>1.12.1983</t>
  </si>
  <si>
    <t>1.05.1993</t>
  </si>
  <si>
    <t>412.02</t>
  </si>
  <si>
    <t>1.09.1984</t>
  </si>
  <si>
    <t>1.02.1994</t>
  </si>
  <si>
    <t>1.08.1985</t>
  </si>
  <si>
    <t>1.05.1995</t>
  </si>
  <si>
    <t>1.02.1997</t>
  </si>
  <si>
    <t xml:space="preserve">Cotes </t>
  </si>
  <si>
    <t>Cotes</t>
  </si>
  <si>
    <t>1.08.1999</t>
  </si>
  <si>
    <t>d'éché-</t>
  </si>
  <si>
    <t>d'appli-</t>
  </si>
  <si>
    <t>1.07.2000</t>
  </si>
  <si>
    <t>ance</t>
  </si>
  <si>
    <t>cation</t>
  </si>
  <si>
    <t>1.04.2001</t>
  </si>
  <si>
    <t>1.06.2002</t>
  </si>
  <si>
    <t>1.0</t>
  </si>
  <si>
    <t>1.07.1986</t>
  </si>
  <si>
    <t>1.08.2003</t>
  </si>
  <si>
    <t>1.01.1987</t>
  </si>
  <si>
    <t>1.10.2004</t>
  </si>
  <si>
    <t>1.12.1988</t>
  </si>
  <si>
    <t>1.10.2005</t>
  </si>
  <si>
    <t>1.09.1989</t>
  </si>
  <si>
    <t>1.12.2006</t>
  </si>
  <si>
    <t>1.05.1990</t>
  </si>
  <si>
    <t>1.03.2008</t>
  </si>
  <si>
    <t>1.01.1991</t>
  </si>
  <si>
    <t>1.03.2009</t>
  </si>
  <si>
    <t>1.11.1991</t>
  </si>
  <si>
    <t>1.07.2010</t>
  </si>
  <si>
    <t>1.10.2011</t>
  </si>
  <si>
    <t>1.10.2012</t>
  </si>
  <si>
    <t>1.10.2013</t>
  </si>
  <si>
    <t>1.01.2017</t>
  </si>
  <si>
    <t>1.08.2018</t>
  </si>
  <si>
    <t>1.01.2020</t>
  </si>
  <si>
    <t>1.10.2021</t>
  </si>
  <si>
    <t>1.04.2022</t>
  </si>
  <si>
    <t>1.02.2023</t>
  </si>
  <si>
    <t>1.04.2023</t>
  </si>
  <si>
    <t>1.09.2023</t>
  </si>
  <si>
    <t>Taux d'effort</t>
  </si>
  <si>
    <t>Situation financière de la communauté domestique</t>
  </si>
  <si>
    <t>Détail du logement</t>
  </si>
  <si>
    <t>Le logement est une maison</t>
  </si>
  <si>
    <t>(sélectionner le nombre d'adultes)</t>
  </si>
  <si>
    <t>Binaire</t>
  </si>
  <si>
    <t xml:space="preserve">Oui </t>
  </si>
  <si>
    <t>Non</t>
  </si>
  <si>
    <t>Date de première occupation du logement</t>
  </si>
  <si>
    <t>Classe d'efficience énergétique selon CPE</t>
  </si>
  <si>
    <t>Classe d'efficience énergétique</t>
  </si>
  <si>
    <t>A</t>
  </si>
  <si>
    <t>B</t>
  </si>
  <si>
    <t>C</t>
  </si>
  <si>
    <t>D</t>
  </si>
  <si>
    <t>E</t>
  </si>
  <si>
    <t>F</t>
  </si>
  <si>
    <t>G</t>
  </si>
  <si>
    <t>H</t>
  </si>
  <si>
    <t>I</t>
  </si>
  <si>
    <t>Majoration si le logement est une maison</t>
  </si>
  <si>
    <t>Forfait compensatoire pour performance énergétique</t>
  </si>
  <si>
    <t xml:space="preserve">Calcul du loyer </t>
  </si>
  <si>
    <t>Calcul du loyer</t>
  </si>
  <si>
    <t xml:space="preserve">"(...) Les revenus des enfants qui entrent dans la vie professionnelle sont considérés à 0 pour cent la première année, à 25 pour cent la deuxième année, à 50 pour cent la troisième année et à 100 pour cent la quatrième année.(...)"
</t>
  </si>
  <si>
    <t>Calcul des revenus en vue du</t>
  </si>
  <si>
    <t>calcul du loyer abordable</t>
  </si>
  <si>
    <t>Tableau B : Forfait compensatoire de performance énergétique</t>
  </si>
  <si>
    <t>Surface utile d’habitation</t>
  </si>
  <si>
    <t>(SUH) du logement</t>
  </si>
  <si>
    <t>Forfait mensuel</t>
  </si>
  <si>
    <t>en euros</t>
  </si>
  <si>
    <t xml:space="preserve">50m2 ou moins </t>
  </si>
  <si>
    <t xml:space="preserve">51 à 70m2 </t>
  </si>
  <si>
    <t xml:space="preserve">71 à 90m2 </t>
  </si>
  <si>
    <t xml:space="preserve">91 à 110m2 </t>
  </si>
  <si>
    <t xml:space="preserve">111 à 130m2 </t>
  </si>
  <si>
    <t xml:space="preserve">131 à 150m2 </t>
  </si>
  <si>
    <t xml:space="preserve">151m2 et plus </t>
  </si>
  <si>
    <t>Surface utile d'habitation du logement (en m2)</t>
  </si>
  <si>
    <t>Enfants</t>
  </si>
  <si>
    <t>(sélectionner le nombre d'enfants)</t>
  </si>
  <si>
    <t>Le présent calcul est destiné aux seules fins d'instruction du dossier et de simulation. Les données et calculs sont à vérifier par le bailleur social.</t>
  </si>
  <si>
    <t xml:space="preserve">Annexe III 1° b) </t>
  </si>
  <si>
    <t xml:space="preserve">Annexe III 2° c) </t>
  </si>
  <si>
    <t xml:space="preserve">Annexe III 2° a) </t>
  </si>
  <si>
    <t xml:space="preserve">Annexe III 2° b) </t>
  </si>
  <si>
    <t>Indices moyens par année</t>
  </si>
  <si>
    <t/>
  </si>
  <si>
    <t>Enfant supplémentaire</t>
  </si>
  <si>
    <t>Seuil d'éligibilité candidats-locataires</t>
  </si>
  <si>
    <t>Le logement dispose d'un espace extérieur (jardin, balcon, terrasse)</t>
  </si>
  <si>
    <t>Minoration si le logement est un logement avec équipements réduits</t>
  </si>
  <si>
    <t>Le logement dispose d'une cuisine équipée</t>
  </si>
  <si>
    <t>calcul du loyer abordable (RND)</t>
  </si>
  <si>
    <t>Revenu à mettre en compte pour le</t>
  </si>
  <si>
    <t>Revenu à considérer pour vérification de</t>
  </si>
  <si>
    <t>l'éligibilité Candidat-locataire (RND - AF)</t>
  </si>
  <si>
    <t>1 adulte</t>
  </si>
  <si>
    <t>2 adultes - 0 enfant</t>
  </si>
  <si>
    <t>1 ou 2 adultes - 2 enfants</t>
  </si>
  <si>
    <t>1 ou 2 adultes - 1 enfant</t>
  </si>
  <si>
    <t>1 ou 2 adultes - 3 enfants</t>
  </si>
  <si>
    <t>Nombre d'adultes</t>
  </si>
  <si>
    <t xml:space="preserve">Type communauté </t>
  </si>
  <si>
    <t>Plafond d'éligibilité</t>
  </si>
  <si>
    <t>Plafond d'éligibilité pour candidat-locataire</t>
  </si>
  <si>
    <r>
      <t xml:space="preserve">Nombre d'enfants à charge </t>
    </r>
    <r>
      <rPr>
        <sz val="11"/>
        <color rgb="FFFF0000"/>
        <rFont val="Calibri"/>
        <family val="2"/>
        <scheme val="minor"/>
      </rPr>
      <t>*</t>
    </r>
  </si>
  <si>
    <t>Eligible pour logement abordable ?</t>
  </si>
  <si>
    <t>Date du calcul</t>
  </si>
  <si>
    <t xml:space="preserve">Barême applicable (indice 100) </t>
  </si>
  <si>
    <t>RND (indice 100)</t>
  </si>
  <si>
    <t>Loyer brut (indice actuel)</t>
  </si>
  <si>
    <t>Loyer brut (indice 100)</t>
  </si>
  <si>
    <t>Loyer net (indice actuel)</t>
  </si>
  <si>
    <t>Nom du locataire principal</t>
  </si>
  <si>
    <t>Prénom Nom</t>
  </si>
  <si>
    <t>3 adultes - 0 enfant</t>
  </si>
  <si>
    <t>4 adultes - 0 enfant</t>
  </si>
  <si>
    <t>5 adultes - 0 enfant</t>
  </si>
  <si>
    <t>6 adultes - 0 enfant</t>
  </si>
  <si>
    <t>7 adultes - 0 enfant</t>
  </si>
  <si>
    <t>8 adultes - 0 enfant</t>
  </si>
  <si>
    <t>9 adultes - 0 enfant</t>
  </si>
  <si>
    <t>3 adultes - 1 enfant</t>
  </si>
  <si>
    <t>4 adultes - 1 enfant</t>
  </si>
  <si>
    <t>5 adultes - 1 enfant</t>
  </si>
  <si>
    <t>6 adultes - 1 enfant</t>
  </si>
  <si>
    <t>7 adultes - 1 enfant</t>
  </si>
  <si>
    <t>8 adultes - 1 enfant</t>
  </si>
  <si>
    <t>9 adultes - 1 enfant</t>
  </si>
  <si>
    <t>3 adultes - 2 enfants</t>
  </si>
  <si>
    <t>4 adultes - 2 enfants</t>
  </si>
  <si>
    <t>5 adultes - 2 enfants</t>
  </si>
  <si>
    <t>6 adultes - 2 enfants</t>
  </si>
  <si>
    <t>7 adultes - 2 enfants</t>
  </si>
  <si>
    <t>8 adultes - 2 enfants</t>
  </si>
  <si>
    <t>9 adultes - 2 enfants</t>
  </si>
  <si>
    <t>3 adultes - 3 enfants</t>
  </si>
  <si>
    <t>4 adultes - 3 enfants</t>
  </si>
  <si>
    <t>5 adultes - 3 enfants</t>
  </si>
  <si>
    <t>6 adultes - 3 enfants</t>
  </si>
  <si>
    <t>7 adultes - 3 enfants</t>
  </si>
  <si>
    <t>8 adultes - 3 enfants</t>
  </si>
  <si>
    <t>9 adultes - 3 enfants</t>
  </si>
  <si>
    <t xml:space="preserve">(euros - ind 100) </t>
  </si>
  <si>
    <t>Revenu annuel</t>
  </si>
  <si>
    <t xml:space="preserve">Nature des revenus </t>
  </si>
  <si>
    <t>Revenu moyen N-1</t>
  </si>
  <si>
    <t>Dernier revenu connu</t>
  </si>
  <si>
    <t>Nature des revenus considérés</t>
  </si>
  <si>
    <t>2024/23</t>
  </si>
  <si>
    <t>Édition du 7 mai 2025 - N°04/2025</t>
  </si>
  <si>
    <t>2025/24</t>
  </si>
  <si>
    <t>1.05.2025</t>
  </si>
  <si>
    <r>
      <t>Notes explicatives:</t>
    </r>
    <r>
      <rPr>
        <sz val="10"/>
        <rFont val="Calibri"/>
        <family val="2"/>
      </rPr>
      <t xml:space="preserve">
</t>
    </r>
    <r>
      <rPr>
        <u/>
        <sz val="10"/>
        <rFont val="Calibri"/>
        <family val="2"/>
      </rPr>
      <t xml:space="preserve">A partir de janvier 2016, la </t>
    </r>
    <r>
      <rPr>
        <sz val="10"/>
        <rFont val="Calibri"/>
        <family val="2"/>
      </rPr>
      <t>base de l'indice (100 en 2015) correspond à la moyenne des prix mensuels observés en 2015 (partie B1).
L'indice général, base 100 au 1.1.1948, est obtenu par multiplication de l'indice général, base 100 en 2015, par un facteur de raccord (partie C 1).  A partir de janvier 2025, le coefficient de raccord est fixé à 8.21659.     
La</t>
    </r>
    <r>
      <rPr>
        <u/>
        <sz val="10"/>
        <rFont val="Calibri"/>
        <family val="2"/>
      </rPr>
      <t xml:space="preserve"> moyenne semestrielle</t>
    </r>
    <r>
      <rPr>
        <sz val="10"/>
        <rFont val="Calibri"/>
        <family val="2"/>
      </rPr>
      <t xml:space="preserve">, calculée pour chaque mois, correspond à la moyenne des indices généraux des 6 derniers mois disponibles (partie C 2).
Une </t>
    </r>
    <r>
      <rPr>
        <u/>
        <sz val="10"/>
        <rFont val="Calibri"/>
        <family val="2"/>
      </rPr>
      <t>tranche indiciaire de l'échelle mobile des salaires</t>
    </r>
    <r>
      <rPr>
        <sz val="10"/>
        <rFont val="Calibri"/>
        <family val="2"/>
      </rPr>
      <t xml:space="preserve"> est applicable un mois après que la moyenne semestrielle ait enregistré une différence de 2.5 % par 
rapport à la dernière cote d'échéance (dans le système non modulé) (partie D).
</t>
    </r>
    <r>
      <rPr>
        <i/>
        <vertAlign val="superscript"/>
        <sz val="12"/>
        <rFont val="Calibri"/>
        <family val="2"/>
      </rPr>
      <t>1</t>
    </r>
    <r>
      <rPr>
        <i/>
        <vertAlign val="superscript"/>
        <sz val="14"/>
        <rFont val="Calibri"/>
        <family val="2"/>
      </rPr>
      <t xml:space="preserve"> </t>
    </r>
    <r>
      <rPr>
        <i/>
        <sz val="10"/>
        <rFont val="Calibri"/>
        <family val="2"/>
      </rPr>
      <t>valeur corrigée le 09.08.2023</t>
    </r>
  </si>
  <si>
    <t>Calcul relatif au loyer abordable au sens de 
la loi du 7 août 2023 relative au logement abordable et de la loi du 22 mai 2024 portant introduction d’un paquet de mesures en vue de la relance du marché du logement</t>
  </si>
  <si>
    <t>Version 01-2026 valide à partir du 13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</si>
</sst>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 0.00"/>
    <numFmt numFmtId="166" formatCode="General\ &quot;enfant(s)&quot;"/>
    <numFmt numFmtId="167" formatCode="_-* #,##0_-;\-* #,##0_-;_-* &quot;-&quot;??_-;_-@_-"/>
    <numFmt numFmtId="168" formatCode="?0.0"/>
    <numFmt numFmtId="169" formatCode="0.00_)"/>
    <numFmt numFmtId="170" formatCode="0.0_)"/>
    <numFmt numFmtId="171" formatCode="_-* #,##0.00\ _€_-;\-* #,##0.00\ _€_-;_-* &quot;-&quot;??\ _€_-;_-@_-"/>
  </numFmts>
  <fonts count="45"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9"/>
      <color rgb="FFFF0000"/>
      <name val="Calibri"/>
      <family val="2"/>
      <scheme val="minor"/>
    </font>
    <font>
      <b/>
      <sz val="11"/>
      <color theme="0"/>
      <name val="Calibri"/>
      <family val="2"/>
      <scheme val="minor"/>
    </font>
    <font>
      <sz val="11"/>
      <color theme="0"/>
      <name val="Calibri"/>
      <family val="2"/>
      <scheme val="minor"/>
    </font>
    <font>
      <b/>
      <sz val="9"/>
      <color theme="1"/>
      <name val="Calibri"/>
      <family val="2"/>
      <scheme val="minor"/>
    </font>
    <font>
      <b/>
      <sz val="11"/>
      <color rgb="FFC00000"/>
      <name val="Calibri"/>
      <family val="2"/>
      <scheme val="minor"/>
    </font>
    <font>
      <i/>
      <sz val="9"/>
      <color theme="1"/>
      <name val="Calibri"/>
      <family val="2"/>
      <scheme val="minor"/>
    </font>
    <font>
      <b/>
      <sz val="11"/>
      <name val="Calibri"/>
      <family val="2"/>
      <scheme val="minor"/>
    </font>
    <font>
      <sz val="11"/>
      <name val="Calibri"/>
      <family val="2"/>
      <scheme val="minor"/>
    </font>
    <font>
      <b/>
      <sz val="8"/>
      <color rgb="FFFF0000"/>
      <name val="Calibri"/>
      <family val="2"/>
      <scheme val="minor"/>
    </font>
    <font>
      <b/>
      <sz val="12"/>
      <color theme="1"/>
      <name val="Calibri"/>
      <family val="2"/>
      <scheme val="minor"/>
    </font>
    <font>
      <sz val="10"/>
      <color theme="1"/>
      <name val="Arial"/>
      <family val="2"/>
    </font>
    <font>
      <b/>
      <u/>
      <sz val="10"/>
      <color theme="1"/>
      <name val="Arial"/>
      <family val="2"/>
    </font>
    <font>
      <sz val="10"/>
      <name val="Helv"/>
    </font>
    <font>
      <sz val="12"/>
      <name val="Calibri"/>
      <family val="2"/>
      <scheme val="minor"/>
    </font>
    <font>
      <sz val="14"/>
      <name val="Calibri"/>
      <family val="2"/>
      <scheme val="minor"/>
    </font>
    <font>
      <b/>
      <sz val="12"/>
      <name val="Calibri"/>
      <family val="2"/>
      <scheme val="minor"/>
    </font>
    <font>
      <b/>
      <sz val="10"/>
      <name val="Calibri"/>
      <family val="2"/>
      <scheme val="minor"/>
    </font>
    <font>
      <sz val="10"/>
      <name val="Calibri"/>
      <family val="2"/>
      <scheme val="minor"/>
    </font>
    <font>
      <sz val="10"/>
      <name val="Calibri"/>
      <family val="2"/>
    </font>
    <font>
      <b/>
      <sz val="12"/>
      <name val="Calibri"/>
      <family val="2"/>
    </font>
    <font>
      <vertAlign val="superscript"/>
      <sz val="9"/>
      <name val="Calibri"/>
      <family val="2"/>
    </font>
    <font>
      <sz val="10"/>
      <name val="Arial"/>
      <family val="2"/>
    </font>
    <font>
      <u/>
      <sz val="10"/>
      <name val="Calibri"/>
      <family val="2"/>
    </font>
    <font>
      <i/>
      <vertAlign val="superscript"/>
      <sz val="12"/>
      <name val="Calibri"/>
      <family val="2"/>
    </font>
    <font>
      <i/>
      <vertAlign val="superscript"/>
      <sz val="14"/>
      <name val="Calibri"/>
      <family val="2"/>
    </font>
    <font>
      <i/>
      <sz val="10"/>
      <name val="Calibri"/>
      <family val="2"/>
    </font>
    <font>
      <sz val="12"/>
      <color theme="1"/>
      <name val="Calibri"/>
      <family val="2"/>
      <scheme val="minor"/>
    </font>
    <font>
      <b/>
      <sz val="12"/>
      <color rgb="FFFF0000"/>
      <name val="Calibri"/>
      <family val="2"/>
      <scheme val="minor"/>
    </font>
    <font>
      <i/>
      <sz val="12"/>
      <color theme="1"/>
      <name val="Calibri"/>
      <family val="2"/>
      <scheme val="minor"/>
    </font>
    <font>
      <sz val="12"/>
      <color theme="0"/>
      <name val="Calibri"/>
      <family val="2"/>
      <scheme val="minor"/>
    </font>
    <font>
      <sz val="12"/>
      <color theme="1"/>
      <name val="Arial"/>
      <family val="2"/>
    </font>
    <font>
      <sz val="10"/>
      <color theme="1"/>
      <name val="Calibri"/>
      <family val="2"/>
      <scheme val="minor"/>
    </font>
    <font>
      <sz val="12"/>
      <color theme="0" tint="-0.499984740745262"/>
      <name val="Calibri"/>
      <family val="2"/>
      <scheme val="minor"/>
    </font>
    <font>
      <b/>
      <sz val="10"/>
      <color theme="0"/>
      <name val="Calibri"/>
      <family val="2"/>
      <scheme val="minor"/>
    </font>
    <font>
      <sz val="10"/>
      <color theme="0"/>
      <name val="Arial"/>
      <family val="2"/>
    </font>
    <font>
      <sz val="10"/>
      <color theme="0"/>
      <name val="Calibri"/>
      <family val="2"/>
      <scheme val="minor"/>
    </font>
    <font>
      <sz val="11"/>
      <color rgb="FFFF0000"/>
      <name val="Calibri"/>
      <family val="2"/>
      <scheme val="minor"/>
    </font>
    <font>
      <sz val="10"/>
      <color rgb="FFFF0000"/>
      <name val="Arial"/>
      <family val="2"/>
    </font>
    <font>
      <sz val="11"/>
      <color rgb="FF00000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0070C0"/>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6"/>
        <bgColor theme="6"/>
      </patternFill>
    </fill>
    <fill>
      <patternFill patternType="solid">
        <fgColor theme="6" tint="0.79998168889431442"/>
        <bgColor theme="6" tint="0.79998168889431442"/>
      </patternFill>
    </fill>
    <fill>
      <patternFill patternType="solid">
        <fgColor theme="0"/>
        <bgColor indexed="64"/>
      </patternFill>
    </fill>
    <fill>
      <patternFill patternType="solid">
        <fgColor rgb="FFFFFF00"/>
        <bgColor indexed="64"/>
      </patternFill>
    </fill>
  </fills>
  <borders count="9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medium">
        <color indexed="64"/>
      </right>
      <top style="thin">
        <color theme="0" tint="-0.14996795556505021"/>
      </top>
      <bottom style="thin">
        <color indexed="64"/>
      </bottom>
      <diagonal/>
    </border>
    <border>
      <left style="medium">
        <color indexed="64"/>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medium">
        <color indexed="64"/>
      </right>
      <top style="thin">
        <color theme="0" tint="-0.14996795556505021"/>
      </top>
      <bottom/>
      <diagonal/>
    </border>
    <border>
      <left style="thin">
        <color theme="1" tint="0.499984740745262"/>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theme="0"/>
      </top>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9" fontId="2" fillId="0" borderId="0" applyFont="0" applyFill="0" applyBorder="0" applyAlignment="0" applyProtection="0"/>
    <xf numFmtId="164" fontId="2" fillId="0" borderId="0" applyFont="0" applyFill="0" applyBorder="0" applyAlignment="0" applyProtection="0"/>
    <xf numFmtId="0" fontId="18" fillId="0" borderId="0"/>
    <xf numFmtId="9" fontId="27" fillId="0" borderId="0" applyFont="0" applyFill="0" applyBorder="0" applyAlignment="0" applyProtection="0"/>
  </cellStyleXfs>
  <cellXfs count="392">
    <xf numFmtId="0" fontId="0" fillId="0" borderId="0" xfId="0"/>
    <xf numFmtId="0" fontId="4" fillId="0" borderId="0" xfId="0" applyFont="1"/>
    <xf numFmtId="0" fontId="4" fillId="0" borderId="0" xfId="0" applyFont="1" applyAlignment="1">
      <alignment vertical="center"/>
    </xf>
    <xf numFmtId="0" fontId="4" fillId="2" borderId="1" xfId="0" applyFont="1" applyFill="1" applyBorder="1" applyAlignment="1">
      <alignment vertical="center"/>
    </xf>
    <xf numFmtId="0" fontId="4" fillId="2" borderId="0" xfId="0" applyFont="1" applyFill="1" applyBorder="1" applyAlignment="1">
      <alignment vertical="center"/>
    </xf>
    <xf numFmtId="0" fontId="4" fillId="0" borderId="1" xfId="0" applyFont="1" applyBorder="1" applyAlignment="1">
      <alignment vertical="center"/>
    </xf>
    <xf numFmtId="0" fontId="3" fillId="3" borderId="8" xfId="0" applyFont="1" applyFill="1" applyBorder="1" applyAlignment="1">
      <alignment vertical="center"/>
    </xf>
    <xf numFmtId="0" fontId="3" fillId="3" borderId="11" xfId="0" applyFont="1" applyFill="1" applyBorder="1" applyAlignment="1">
      <alignment horizontal="centerContinuous" vertical="center"/>
    </xf>
    <xf numFmtId="0" fontId="3" fillId="2" borderId="3" xfId="0" applyFont="1" applyFill="1" applyBorder="1" applyAlignment="1">
      <alignmen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14" fontId="4" fillId="0" borderId="0" xfId="0" applyNumberFormat="1" applyFont="1"/>
    <xf numFmtId="2" fontId="4" fillId="0" borderId="0" xfId="0" applyNumberFormat="1" applyFont="1"/>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2" fontId="4" fillId="0" borderId="0" xfId="0" applyNumberFormat="1" applyFont="1" applyAlignment="1">
      <alignment horizontal="center" vertical="center"/>
    </xf>
    <xf numFmtId="0" fontId="3" fillId="2" borderId="14" xfId="0" applyFont="1" applyFill="1" applyBorder="1"/>
    <xf numFmtId="0" fontId="4" fillId="0" borderId="19" xfId="0" quotePrefix="1" applyFont="1" applyBorder="1"/>
    <xf numFmtId="0" fontId="4" fillId="0" borderId="19" xfId="0" applyFont="1" applyBorder="1"/>
    <xf numFmtId="0" fontId="4" fillId="0" borderId="20" xfId="0" applyFont="1" applyBorder="1"/>
    <xf numFmtId="0" fontId="3" fillId="2" borderId="21" xfId="0" applyFont="1" applyFill="1" applyBorder="1"/>
    <xf numFmtId="0" fontId="4" fillId="2" borderId="22" xfId="0" applyFont="1" applyFill="1" applyBorder="1"/>
    <xf numFmtId="0" fontId="4" fillId="0" borderId="1" xfId="0" applyFont="1" applyBorder="1"/>
    <xf numFmtId="0" fontId="4" fillId="0" borderId="2" xfId="0" applyFont="1" applyBorder="1"/>
    <xf numFmtId="0" fontId="4" fillId="0" borderId="3" xfId="0" applyFont="1" applyBorder="1"/>
    <xf numFmtId="0" fontId="4" fillId="0" borderId="5" xfId="0" applyFont="1" applyBorder="1"/>
    <xf numFmtId="0" fontId="3" fillId="2" borderId="22" xfId="0" applyFont="1" applyFill="1" applyBorder="1"/>
    <xf numFmtId="9" fontId="4" fillId="0" borderId="2" xfId="1" applyFont="1" applyBorder="1"/>
    <xf numFmtId="9" fontId="4" fillId="0" borderId="5" xfId="1" applyFont="1" applyBorder="1"/>
    <xf numFmtId="0" fontId="4" fillId="0" borderId="1" xfId="0" quotePrefix="1" applyFont="1" applyBorder="1"/>
    <xf numFmtId="0" fontId="4" fillId="0" borderId="20" xfId="0" applyFont="1" applyBorder="1" applyAlignment="1">
      <alignment horizontal="left" vertical="center"/>
    </xf>
    <xf numFmtId="0" fontId="4" fillId="0" borderId="14" xfId="0" applyFont="1" applyBorder="1" applyAlignment="1">
      <alignment horizontal="left"/>
    </xf>
    <xf numFmtId="166" fontId="4" fillId="0" borderId="14" xfId="0" applyNumberFormat="1" applyFont="1" applyBorder="1" applyAlignment="1">
      <alignment horizontal="left" vertical="center"/>
    </xf>
    <xf numFmtId="0" fontId="1" fillId="2" borderId="43" xfId="0" applyFont="1" applyFill="1" applyBorder="1" applyAlignment="1" applyProtection="1">
      <alignment horizontal="center" vertical="center"/>
      <protection locked="0"/>
    </xf>
    <xf numFmtId="0" fontId="4" fillId="0" borderId="15" xfId="0" quotePrefix="1" applyFont="1" applyBorder="1"/>
    <xf numFmtId="9" fontId="4" fillId="0" borderId="17" xfId="0" applyNumberFormat="1" applyFont="1" applyBorder="1"/>
    <xf numFmtId="0" fontId="4" fillId="0" borderId="0" xfId="0" quotePrefix="1" applyFont="1" applyAlignment="1">
      <alignment vertical="center"/>
    </xf>
    <xf numFmtId="0" fontId="0" fillId="0" borderId="0" xfId="0" applyFont="1" applyAlignment="1">
      <alignment vertical="center"/>
    </xf>
    <xf numFmtId="0" fontId="7" fillId="4" borderId="21" xfId="0" applyFont="1" applyFill="1" applyBorder="1" applyAlignment="1">
      <alignment horizontal="centerContinuous" vertical="center"/>
    </xf>
    <xf numFmtId="0" fontId="8" fillId="4" borderId="31" xfId="0" applyFont="1" applyFill="1" applyBorder="1" applyAlignment="1">
      <alignment horizontal="centerContinuous" vertical="center"/>
    </xf>
    <xf numFmtId="0" fontId="8" fillId="4" borderId="22" xfId="0" applyFont="1" applyFill="1" applyBorder="1" applyAlignment="1">
      <alignment horizontal="centerContinuous" vertical="center"/>
    </xf>
    <xf numFmtId="0" fontId="0" fillId="0" borderId="40" xfId="0" applyFont="1" applyBorder="1" applyAlignment="1">
      <alignment vertical="center"/>
    </xf>
    <xf numFmtId="0" fontId="1" fillId="0" borderId="0" xfId="0" applyFont="1" applyAlignment="1">
      <alignment vertical="center"/>
    </xf>
    <xf numFmtId="0" fontId="1" fillId="0" borderId="21" xfId="0" applyFont="1" applyBorder="1" applyAlignment="1">
      <alignment vertical="center"/>
    </xf>
    <xf numFmtId="0" fontId="1" fillId="0" borderId="41" xfId="0" applyFont="1" applyBorder="1" applyAlignment="1">
      <alignment horizontal="center" vertical="center"/>
    </xf>
    <xf numFmtId="0" fontId="1" fillId="0" borderId="22" xfId="0" applyFont="1" applyBorder="1" applyAlignment="1">
      <alignment horizontal="center" vertical="center"/>
    </xf>
    <xf numFmtId="0" fontId="0" fillId="0" borderId="0" xfId="0" applyFont="1" applyAlignment="1">
      <alignment horizontal="left" vertical="center"/>
    </xf>
    <xf numFmtId="0" fontId="10" fillId="0" borderId="43" xfId="0" applyFont="1" applyBorder="1" applyAlignment="1">
      <alignment horizontal="left" vertical="center"/>
    </xf>
    <xf numFmtId="0" fontId="0" fillId="0" borderId="43" xfId="0" applyFont="1" applyBorder="1" applyAlignment="1">
      <alignment vertical="center"/>
    </xf>
    <xf numFmtId="0" fontId="0" fillId="0" borderId="1" xfId="0" applyFont="1" applyBorder="1" applyAlignment="1">
      <alignment vertical="center"/>
    </xf>
    <xf numFmtId="4" fontId="0" fillId="0" borderId="28" xfId="0" applyNumberFormat="1" applyFont="1" applyBorder="1" applyAlignment="1">
      <alignment horizontal="right" vertical="center"/>
    </xf>
    <xf numFmtId="0" fontId="0" fillId="0" borderId="0" xfId="0" applyFont="1"/>
    <xf numFmtId="0" fontId="0" fillId="2" borderId="9" xfId="0" applyFont="1" applyFill="1" applyBorder="1" applyAlignment="1">
      <alignment horizontal="centerContinuous" vertical="center"/>
    </xf>
    <xf numFmtId="0" fontId="0" fillId="2" borderId="10" xfId="0" applyFont="1" applyFill="1" applyBorder="1" applyAlignment="1">
      <alignment horizontal="centerContinuous" vertical="center"/>
    </xf>
    <xf numFmtId="0" fontId="0" fillId="0" borderId="18" xfId="0" applyFont="1" applyBorder="1" applyAlignment="1">
      <alignment horizontal="right" vertical="center"/>
    </xf>
    <xf numFmtId="0" fontId="0" fillId="0" borderId="3" xfId="0" applyFont="1" applyBorder="1" applyAlignment="1">
      <alignment vertical="center"/>
    </xf>
    <xf numFmtId="4" fontId="0" fillId="0" borderId="42" xfId="0" applyNumberFormat="1" applyFont="1" applyBorder="1" applyAlignment="1">
      <alignment horizontal="right"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right" vertical="center"/>
    </xf>
    <xf numFmtId="0" fontId="0" fillId="2" borderId="28" xfId="0" applyFont="1" applyFill="1" applyBorder="1" applyAlignment="1">
      <alignment vertical="center"/>
    </xf>
    <xf numFmtId="0" fontId="0" fillId="2" borderId="7" xfId="0" applyFont="1" applyFill="1" applyBorder="1" applyAlignment="1">
      <alignment vertical="center"/>
    </xf>
    <xf numFmtId="0" fontId="0" fillId="0" borderId="19" xfId="0" applyFont="1" applyFill="1" applyBorder="1" applyAlignment="1">
      <alignment vertical="center"/>
    </xf>
    <xf numFmtId="0" fontId="0" fillId="0" borderId="29" xfId="0" applyFont="1" applyBorder="1" applyAlignment="1" applyProtection="1">
      <alignment vertical="center"/>
      <protection locked="0"/>
    </xf>
    <xf numFmtId="4" fontId="0" fillId="0" borderId="27" xfId="0" applyNumberFormat="1" applyFont="1" applyBorder="1" applyAlignment="1" applyProtection="1">
      <alignment vertical="center"/>
      <protection locked="0"/>
    </xf>
    <xf numFmtId="4" fontId="0" fillId="0" borderId="24" xfId="0" applyNumberFormat="1" applyFont="1" applyBorder="1" applyAlignment="1" applyProtection="1">
      <alignment vertical="center"/>
      <protection locked="0"/>
    </xf>
    <xf numFmtId="4" fontId="0" fillId="0" borderId="19" xfId="0" applyNumberFormat="1" applyFont="1" applyBorder="1" applyAlignment="1">
      <alignment vertical="center"/>
    </xf>
    <xf numFmtId="0" fontId="0" fillId="0" borderId="37" xfId="0" applyFont="1" applyBorder="1" applyAlignment="1" applyProtection="1">
      <alignment vertical="center"/>
      <protection locked="0"/>
    </xf>
    <xf numFmtId="4" fontId="0" fillId="0" borderId="38" xfId="0" applyNumberFormat="1" applyFont="1" applyBorder="1" applyAlignment="1" applyProtection="1">
      <alignment vertical="center"/>
      <protection locked="0"/>
    </xf>
    <xf numFmtId="4" fontId="0" fillId="0" borderId="39" xfId="0" applyNumberFormat="1" applyFont="1" applyBorder="1" applyAlignment="1" applyProtection="1">
      <alignment vertical="center"/>
      <protection locked="0"/>
    </xf>
    <xf numFmtId="0" fontId="0" fillId="0" borderId="34" xfId="0" applyFont="1" applyBorder="1" applyAlignment="1" applyProtection="1">
      <alignment vertical="center"/>
      <protection locked="0"/>
    </xf>
    <xf numFmtId="4" fontId="0" fillId="0" borderId="35" xfId="0" applyNumberFormat="1" applyFont="1" applyBorder="1" applyAlignment="1" applyProtection="1">
      <alignment vertical="center"/>
      <protection locked="0"/>
    </xf>
    <xf numFmtId="4" fontId="0" fillId="0" borderId="36" xfId="0" applyNumberFormat="1" applyFont="1" applyBorder="1" applyAlignment="1" applyProtection="1">
      <alignment vertical="center"/>
      <protection locked="0"/>
    </xf>
    <xf numFmtId="0" fontId="0" fillId="0" borderId="29" xfId="0" applyFont="1" applyBorder="1" applyAlignment="1">
      <alignment vertical="center"/>
    </xf>
    <xf numFmtId="0" fontId="0" fillId="0" borderId="37" xfId="0" applyFont="1" applyBorder="1" applyAlignment="1">
      <alignment vertical="center"/>
    </xf>
    <xf numFmtId="0" fontId="7" fillId="4" borderId="15" xfId="0" applyFont="1" applyFill="1" applyBorder="1" applyAlignment="1">
      <alignment horizontal="centerContinuous" vertical="center"/>
    </xf>
    <xf numFmtId="0" fontId="7" fillId="4" borderId="16" xfId="0" applyFont="1" applyFill="1" applyBorder="1" applyAlignment="1">
      <alignment horizontal="centerContinuous" vertical="center"/>
    </xf>
    <xf numFmtId="0" fontId="7" fillId="4" borderId="17" xfId="0" applyFont="1" applyFill="1" applyBorder="1" applyAlignment="1">
      <alignment horizontal="centerContinuous" vertical="center"/>
    </xf>
    <xf numFmtId="0" fontId="7" fillId="4" borderId="3" xfId="0" applyFont="1" applyFill="1" applyBorder="1" applyAlignment="1">
      <alignment horizontal="centerContinuous" vertical="center"/>
    </xf>
    <xf numFmtId="0" fontId="7" fillId="4" borderId="4" xfId="0" applyFont="1" applyFill="1" applyBorder="1" applyAlignment="1">
      <alignment horizontal="centerContinuous" vertical="center"/>
    </xf>
    <xf numFmtId="0" fontId="7" fillId="4" borderId="5" xfId="0" applyFont="1" applyFill="1" applyBorder="1" applyAlignment="1">
      <alignment horizontal="centerContinuous" vertical="center"/>
    </xf>
    <xf numFmtId="0" fontId="0" fillId="0" borderId="16" xfId="0" applyFont="1" applyBorder="1" applyAlignment="1">
      <alignment vertical="center"/>
    </xf>
    <xf numFmtId="0" fontId="0" fillId="0" borderId="0" xfId="0" applyFont="1" applyBorder="1" applyAlignment="1">
      <alignment vertical="center"/>
    </xf>
    <xf numFmtId="4" fontId="1" fillId="0" borderId="2" xfId="0" applyNumberFormat="1" applyFont="1" applyBorder="1" applyAlignment="1">
      <alignment horizontal="right" vertical="center"/>
    </xf>
    <xf numFmtId="0" fontId="0" fillId="2" borderId="18" xfId="0" applyFont="1" applyFill="1" applyBorder="1" applyAlignment="1">
      <alignment vertical="center"/>
    </xf>
    <xf numFmtId="0" fontId="0" fillId="2" borderId="20" xfId="0" applyFont="1" applyFill="1" applyBorder="1" applyAlignment="1">
      <alignment vertical="center"/>
    </xf>
    <xf numFmtId="9" fontId="0" fillId="0" borderId="2" xfId="1" applyFont="1" applyBorder="1" applyAlignment="1" applyProtection="1">
      <alignment horizontal="center" vertical="center"/>
    </xf>
    <xf numFmtId="9" fontId="0" fillId="0" borderId="5" xfId="1" applyFont="1" applyBorder="1" applyAlignment="1" applyProtection="1">
      <alignment horizontal="center" vertical="center"/>
    </xf>
    <xf numFmtId="0" fontId="1" fillId="2" borderId="1" xfId="0" applyFont="1" applyFill="1" applyBorder="1" applyAlignment="1">
      <alignment vertical="center"/>
    </xf>
    <xf numFmtId="9" fontId="4" fillId="0" borderId="0" xfId="1" applyFont="1" applyAlignment="1">
      <alignment vertical="center"/>
    </xf>
    <xf numFmtId="0" fontId="7" fillId="4" borderId="18" xfId="0" applyFont="1" applyFill="1" applyBorder="1" applyAlignment="1">
      <alignment horizontal="center" vertical="center"/>
    </xf>
    <xf numFmtId="0" fontId="0" fillId="0" borderId="15" xfId="0" applyFont="1" applyBorder="1" applyAlignment="1">
      <alignment vertical="center"/>
    </xf>
    <xf numFmtId="0" fontId="5" fillId="0" borderId="3" xfId="0" applyFont="1" applyBorder="1" applyAlignment="1">
      <alignment vertical="center"/>
    </xf>
    <xf numFmtId="2" fontId="5" fillId="0" borderId="5" xfId="0" applyNumberFormat="1" applyFont="1" applyBorder="1" applyAlignment="1">
      <alignment vertical="center"/>
    </xf>
    <xf numFmtId="0" fontId="12" fillId="6" borderId="21" xfId="0" applyFont="1" applyFill="1" applyBorder="1" applyAlignment="1">
      <alignment horizontal="centerContinuous" vertical="center"/>
    </xf>
    <xf numFmtId="0" fontId="13" fillId="6" borderId="31" xfId="0" applyFont="1" applyFill="1" applyBorder="1" applyAlignment="1">
      <alignment horizontal="centerContinuous" vertical="center"/>
    </xf>
    <xf numFmtId="0" fontId="13" fillId="6" borderId="22" xfId="0" applyFont="1" applyFill="1" applyBorder="1" applyAlignment="1">
      <alignment horizontal="centerContinuous" vertical="center"/>
    </xf>
    <xf numFmtId="0" fontId="0" fillId="0" borderId="16" xfId="0" applyFont="1" applyBorder="1" applyAlignment="1">
      <alignment horizontal="right" vertical="center"/>
    </xf>
    <xf numFmtId="4" fontId="0" fillId="0" borderId="18" xfId="0" applyNumberFormat="1" applyFont="1" applyBorder="1" applyAlignment="1">
      <alignment vertical="center"/>
    </xf>
    <xf numFmtId="0" fontId="1" fillId="0" borderId="13" xfId="0" applyFont="1" applyBorder="1" applyAlignment="1">
      <alignment horizontal="right" vertical="center"/>
    </xf>
    <xf numFmtId="4" fontId="1" fillId="0" borderId="45" xfId="0" applyNumberFormat="1" applyFont="1" applyBorder="1" applyAlignment="1">
      <alignment vertical="center"/>
    </xf>
    <xf numFmtId="0" fontId="0" fillId="0" borderId="16" xfId="0" applyFont="1" applyBorder="1" applyAlignment="1">
      <alignment horizontal="left" vertical="center" indent="1"/>
    </xf>
    <xf numFmtId="0" fontId="1" fillId="0" borderId="12" xfId="0" applyFont="1" applyBorder="1" applyAlignment="1">
      <alignment horizontal="left" vertical="center" indent="1"/>
    </xf>
    <xf numFmtId="0" fontId="6" fillId="0" borderId="0" xfId="0" applyFont="1" applyAlignment="1">
      <alignment horizontal="centerContinuous" vertical="center"/>
    </xf>
    <xf numFmtId="0" fontId="0" fillId="5" borderId="44" xfId="0" applyFont="1" applyFill="1" applyBorder="1" applyAlignment="1" applyProtection="1">
      <alignment horizontal="center" vertical="center"/>
      <protection locked="0"/>
    </xf>
    <xf numFmtId="0" fontId="4" fillId="2" borderId="46" xfId="0" applyFont="1" applyFill="1" applyBorder="1" applyAlignment="1">
      <alignment vertical="center"/>
    </xf>
    <xf numFmtId="0" fontId="4" fillId="2" borderId="47" xfId="0" applyFont="1" applyFill="1" applyBorder="1" applyAlignment="1">
      <alignment vertical="center"/>
    </xf>
    <xf numFmtId="0" fontId="4" fillId="2" borderId="49" xfId="0" applyFont="1" applyFill="1" applyBorder="1" applyAlignment="1">
      <alignment vertical="center"/>
    </xf>
    <xf numFmtId="0" fontId="4" fillId="2" borderId="51" xfId="0" applyFont="1" applyFill="1" applyBorder="1" applyAlignment="1">
      <alignment vertical="center"/>
    </xf>
    <xf numFmtId="0" fontId="4" fillId="2" borderId="52" xfId="0" applyFont="1" applyFill="1" applyBorder="1" applyAlignment="1">
      <alignment vertical="center"/>
    </xf>
    <xf numFmtId="0" fontId="16" fillId="0" borderId="64" xfId="0" applyFont="1" applyBorder="1"/>
    <xf numFmtId="0" fontId="16" fillId="0" borderId="57" xfId="0" applyFont="1" applyBorder="1"/>
    <xf numFmtId="0" fontId="16" fillId="0" borderId="61" xfId="0" applyFont="1" applyBorder="1"/>
    <xf numFmtId="167" fontId="16" fillId="0" borderId="0" xfId="2" applyNumberFormat="1" applyFont="1" applyFill="1" applyBorder="1"/>
    <xf numFmtId="0" fontId="16" fillId="0" borderId="56" xfId="0" applyFont="1" applyBorder="1"/>
    <xf numFmtId="0" fontId="16" fillId="0" borderId="0" xfId="0" applyFont="1"/>
    <xf numFmtId="0" fontId="16" fillId="0" borderId="54" xfId="0" applyFont="1" applyBorder="1" applyAlignment="1">
      <alignment horizontal="center"/>
    </xf>
    <xf numFmtId="0" fontId="16" fillId="0" borderId="55" xfId="0" applyFont="1" applyBorder="1" applyAlignment="1">
      <alignment horizontal="center"/>
    </xf>
    <xf numFmtId="0" fontId="16" fillId="0" borderId="58" xfId="0" applyFont="1" applyBorder="1" applyAlignment="1">
      <alignment horizontal="center"/>
    </xf>
    <xf numFmtId="0" fontId="16" fillId="0" borderId="59" xfId="0" applyFont="1" applyBorder="1" applyAlignment="1">
      <alignment horizontal="center"/>
    </xf>
    <xf numFmtId="0" fontId="16" fillId="0" borderId="41" xfId="0" applyFont="1" applyBorder="1" applyAlignment="1">
      <alignment vertical="center"/>
    </xf>
    <xf numFmtId="0" fontId="17" fillId="0" borderId="0" xfId="0" applyFont="1"/>
    <xf numFmtId="0" fontId="16" fillId="0" borderId="1" xfId="0" applyFont="1" applyBorder="1"/>
    <xf numFmtId="0" fontId="16" fillId="0" borderId="3" xfId="0" applyFont="1" applyBorder="1"/>
    <xf numFmtId="0" fontId="16" fillId="0" borderId="18" xfId="0" applyFont="1" applyBorder="1"/>
    <xf numFmtId="0" fontId="16" fillId="0" borderId="19" xfId="0" applyFont="1" applyBorder="1"/>
    <xf numFmtId="0" fontId="16" fillId="0" borderId="20" xfId="0" applyFont="1" applyBorder="1"/>
    <xf numFmtId="167" fontId="16" fillId="0" borderId="19" xfId="2" applyNumberFormat="1" applyFont="1" applyBorder="1"/>
    <xf numFmtId="167" fontId="16" fillId="0" borderId="20" xfId="2" applyNumberFormat="1" applyFont="1" applyBorder="1"/>
    <xf numFmtId="0" fontId="16" fillId="0" borderId="14" xfId="0" applyFont="1" applyBorder="1"/>
    <xf numFmtId="10" fontId="23" fillId="0" borderId="0" xfId="4" applyNumberFormat="1" applyFont="1"/>
    <xf numFmtId="164" fontId="16" fillId="0" borderId="62" xfId="2" applyNumberFormat="1" applyFont="1" applyBorder="1"/>
    <xf numFmtId="164" fontId="16" fillId="0" borderId="63" xfId="2" applyNumberFormat="1" applyFont="1" applyBorder="1"/>
    <xf numFmtId="164" fontId="16" fillId="0" borderId="23" xfId="2" applyNumberFormat="1" applyFont="1" applyBorder="1"/>
    <xf numFmtId="164" fontId="16" fillId="0" borderId="32" xfId="2" applyNumberFormat="1" applyFont="1" applyBorder="1"/>
    <xf numFmtId="164" fontId="16" fillId="0" borderId="58" xfId="2" applyNumberFormat="1" applyFont="1" applyBorder="1"/>
    <xf numFmtId="164" fontId="16" fillId="0" borderId="59" xfId="2" applyNumberFormat="1" applyFont="1" applyBorder="1"/>
    <xf numFmtId="0" fontId="4" fillId="0" borderId="0" xfId="0" applyFont="1" applyAlignment="1">
      <alignment horizontal="center" vertical="center"/>
    </xf>
    <xf numFmtId="0" fontId="16" fillId="0" borderId="15" xfId="0" applyFont="1" applyBorder="1"/>
    <xf numFmtId="0" fontId="16" fillId="0" borderId="83" xfId="0" applyFont="1" applyBorder="1"/>
    <xf numFmtId="0" fontId="16" fillId="0" borderId="65" xfId="0" applyFont="1" applyBorder="1"/>
    <xf numFmtId="0" fontId="16" fillId="0" borderId="66" xfId="0" applyFont="1" applyBorder="1"/>
    <xf numFmtId="0" fontId="16" fillId="0" borderId="85" xfId="0" applyFont="1" applyBorder="1"/>
    <xf numFmtId="2" fontId="16" fillId="0" borderId="84" xfId="0" applyNumberFormat="1" applyFont="1" applyBorder="1"/>
    <xf numFmtId="2" fontId="16" fillId="0" borderId="85" xfId="0" applyNumberFormat="1" applyFont="1" applyBorder="1"/>
    <xf numFmtId="0" fontId="32" fillId="2" borderId="24" xfId="0" applyFont="1" applyFill="1" applyBorder="1"/>
    <xf numFmtId="0" fontId="32" fillId="2" borderId="25" xfId="0" applyFont="1" applyFill="1" applyBorder="1"/>
    <xf numFmtId="0" fontId="32" fillId="0" borderId="0" xfId="0" applyFont="1"/>
    <xf numFmtId="0" fontId="32" fillId="2" borderId="7" xfId="0" applyFont="1" applyFill="1" applyBorder="1"/>
    <xf numFmtId="0" fontId="32" fillId="2" borderId="0" xfId="0" applyFont="1" applyFill="1" applyBorder="1"/>
    <xf numFmtId="0" fontId="32" fillId="2" borderId="71" xfId="0" applyFont="1" applyFill="1" applyBorder="1"/>
    <xf numFmtId="0" fontId="32" fillId="2" borderId="26" xfId="0" applyFont="1" applyFill="1" applyBorder="1"/>
    <xf numFmtId="0" fontId="32" fillId="0" borderId="0" xfId="0" applyFont="1" applyBorder="1"/>
    <xf numFmtId="0" fontId="32" fillId="0" borderId="23" xfId="0" applyFont="1" applyFill="1" applyBorder="1"/>
    <xf numFmtId="0" fontId="34" fillId="0" borderId="0" xfId="0" applyFont="1" applyBorder="1" applyAlignment="1">
      <alignment horizontal="left" indent="1"/>
    </xf>
    <xf numFmtId="0" fontId="32" fillId="0" borderId="0" xfId="0" applyFont="1" applyBorder="1" applyAlignment="1">
      <alignment horizontal="left" indent="1"/>
    </xf>
    <xf numFmtId="0" fontId="35" fillId="0" borderId="0" xfId="0" applyFont="1" applyBorder="1" applyAlignment="1">
      <alignment horizontal="center"/>
    </xf>
    <xf numFmtId="0" fontId="35" fillId="0" borderId="0" xfId="0" applyFont="1" applyFill="1"/>
    <xf numFmtId="167" fontId="35" fillId="0" borderId="0" xfId="2" applyNumberFormat="1" applyFont="1" applyFill="1"/>
    <xf numFmtId="0" fontId="32" fillId="0" borderId="23" xfId="0" applyFont="1" applyBorder="1" applyAlignment="1">
      <alignment horizontal="center" vertical="center" wrapText="1"/>
    </xf>
    <xf numFmtId="164" fontId="32" fillId="0" borderId="0" xfId="2" applyFont="1"/>
    <xf numFmtId="0" fontId="32" fillId="0" borderId="0" xfId="0" applyFont="1" applyAlignment="1">
      <alignment vertical="center"/>
    </xf>
    <xf numFmtId="0" fontId="15" fillId="0" borderId="0" xfId="0" applyFont="1" applyAlignment="1">
      <alignment vertical="center"/>
    </xf>
    <xf numFmtId="167" fontId="32" fillId="0" borderId="0" xfId="0" applyNumberFormat="1" applyFont="1" applyAlignment="1">
      <alignment vertical="center"/>
    </xf>
    <xf numFmtId="0" fontId="36" fillId="0" borderId="0" xfId="0" applyFont="1"/>
    <xf numFmtId="0" fontId="6" fillId="0" borderId="0" xfId="0" applyFont="1" applyFill="1" applyAlignment="1">
      <alignment horizontal="centerContinuous" vertical="center"/>
    </xf>
    <xf numFmtId="0" fontId="4" fillId="0" borderId="0" xfId="0" applyFont="1" applyFill="1" applyAlignment="1">
      <alignment vertical="center"/>
    </xf>
    <xf numFmtId="0" fontId="0" fillId="0" borderId="17" xfId="0" applyFont="1" applyFill="1" applyBorder="1" applyAlignment="1">
      <alignment horizontal="right" vertical="center"/>
    </xf>
    <xf numFmtId="14" fontId="37" fillId="0" borderId="0" xfId="0" applyNumberFormat="1" applyFont="1"/>
    <xf numFmtId="2" fontId="37" fillId="0" borderId="0" xfId="0" applyNumberFormat="1" applyFont="1"/>
    <xf numFmtId="0" fontId="32" fillId="0" borderId="0" xfId="0" applyFont="1" applyAlignment="1">
      <alignment horizontal="center"/>
    </xf>
    <xf numFmtId="0" fontId="35" fillId="0" borderId="0" xfId="0" applyFont="1"/>
    <xf numFmtId="167" fontId="35" fillId="0" borderId="0" xfId="2" applyNumberFormat="1" applyFont="1"/>
    <xf numFmtId="0" fontId="38" fillId="0" borderId="0" xfId="0" applyFont="1"/>
    <xf numFmtId="0" fontId="39" fillId="10" borderId="86" xfId="0" applyFont="1" applyFill="1" applyBorder="1"/>
    <xf numFmtId="0" fontId="39" fillId="10" borderId="87" xfId="0" applyFont="1" applyFill="1" applyBorder="1"/>
    <xf numFmtId="2" fontId="4" fillId="11" borderId="87" xfId="0" applyNumberFormat="1" applyFont="1" applyFill="1" applyBorder="1"/>
    <xf numFmtId="2" fontId="4" fillId="0" borderId="87" xfId="0" applyNumberFormat="1" applyFont="1" applyBorder="1"/>
    <xf numFmtId="1" fontId="4" fillId="11" borderId="86" xfId="0" applyNumberFormat="1" applyFont="1" applyFill="1" applyBorder="1"/>
    <xf numFmtId="1" fontId="4" fillId="0" borderId="86" xfId="0" applyNumberFormat="1" applyFont="1" applyBorder="1"/>
    <xf numFmtId="0" fontId="32" fillId="12" borderId="0" xfId="0" applyFont="1" applyFill="1" applyBorder="1" applyAlignment="1">
      <alignment horizontal="center"/>
    </xf>
    <xf numFmtId="0" fontId="40" fillId="0" borderId="0" xfId="0" applyFont="1"/>
    <xf numFmtId="0" fontId="4" fillId="0" borderId="3" xfId="0" applyFont="1" applyBorder="1" applyAlignment="1">
      <alignment vertical="center"/>
    </xf>
    <xf numFmtId="165" fontId="4" fillId="0" borderId="6" xfId="0" applyNumberFormat="1" applyFont="1" applyBorder="1" applyAlignment="1">
      <alignment horizontal="center" vertical="center"/>
    </xf>
    <xf numFmtId="165" fontId="4" fillId="0" borderId="5" xfId="0" applyNumberFormat="1" applyFont="1" applyBorder="1" applyAlignment="1">
      <alignment horizontal="center" vertical="center"/>
    </xf>
    <xf numFmtId="0" fontId="4" fillId="0" borderId="88" xfId="0" applyFont="1" applyBorder="1" applyAlignment="1">
      <alignment vertical="center"/>
    </xf>
    <xf numFmtId="165" fontId="4" fillId="0" borderId="74" xfId="0" applyNumberFormat="1" applyFont="1" applyBorder="1" applyAlignment="1">
      <alignment horizontal="center" vertical="center"/>
    </xf>
    <xf numFmtId="165" fontId="4" fillId="0" borderId="89" xfId="0" applyNumberFormat="1" applyFont="1" applyBorder="1" applyAlignment="1">
      <alignment horizontal="center" vertical="center"/>
    </xf>
    <xf numFmtId="2" fontId="0" fillId="0" borderId="0" xfId="0" applyNumberFormat="1"/>
    <xf numFmtId="0" fontId="3" fillId="3" borderId="9" xfId="0" applyFont="1" applyFill="1" applyBorder="1" applyAlignment="1">
      <alignment horizontal="centerContinuous" vertical="center" wrapText="1"/>
    </xf>
    <xf numFmtId="0" fontId="41" fillId="0" borderId="0" xfId="0" applyFont="1"/>
    <xf numFmtId="14" fontId="41" fillId="0" borderId="0" xfId="0" applyNumberFormat="1" applyFont="1"/>
    <xf numFmtId="10" fontId="32" fillId="0" borderId="0" xfId="1" applyNumberFormat="1" applyFont="1"/>
    <xf numFmtId="10" fontId="32" fillId="0" borderId="23" xfId="1" applyNumberFormat="1" applyFont="1" applyFill="1" applyBorder="1"/>
    <xf numFmtId="10" fontId="32" fillId="0" borderId="0" xfId="1" applyNumberFormat="1" applyFont="1" applyFill="1"/>
    <xf numFmtId="0" fontId="43" fillId="0" borderId="0" xfId="0" applyFont="1"/>
    <xf numFmtId="2" fontId="16" fillId="0" borderId="0" xfId="0" applyNumberFormat="1" applyFont="1"/>
    <xf numFmtId="2" fontId="5" fillId="0" borderId="0" xfId="0" applyNumberFormat="1" applyFont="1" applyAlignment="1">
      <alignment vertical="center"/>
    </xf>
    <xf numFmtId="167" fontId="32" fillId="0" borderId="0" xfId="0" applyNumberFormat="1" applyFont="1"/>
    <xf numFmtId="164" fontId="32" fillId="0" borderId="23" xfId="2" applyNumberFormat="1" applyFont="1" applyBorder="1"/>
    <xf numFmtId="164" fontId="32" fillId="0" borderId="0" xfId="0" applyNumberFormat="1" applyFont="1"/>
    <xf numFmtId="164" fontId="15" fillId="0" borderId="23" xfId="2" applyNumberFormat="1" applyFont="1" applyBorder="1" applyAlignment="1">
      <alignment vertical="center"/>
    </xf>
    <xf numFmtId="0" fontId="32" fillId="2" borderId="23" xfId="0" applyFont="1" applyFill="1" applyBorder="1" applyProtection="1">
      <protection locked="0"/>
    </xf>
    <xf numFmtId="0" fontId="32" fillId="2" borderId="23" xfId="0" applyFont="1" applyFill="1" applyBorder="1" applyAlignment="1" applyProtection="1">
      <alignment horizontal="center"/>
      <protection locked="0"/>
    </xf>
    <xf numFmtId="14" fontId="32" fillId="2" borderId="23" xfId="0" applyNumberFormat="1" applyFont="1" applyFill="1" applyBorder="1" applyAlignment="1" applyProtection="1">
      <alignment horizontal="right"/>
      <protection locked="0"/>
    </xf>
    <xf numFmtId="14" fontId="32" fillId="2" borderId="23" xfId="0" applyNumberFormat="1" applyFont="1" applyFill="1" applyBorder="1" applyProtection="1">
      <protection locked="0"/>
    </xf>
    <xf numFmtId="167" fontId="32" fillId="2" borderId="23" xfId="2" applyNumberFormat="1" applyFont="1" applyFill="1" applyBorder="1" applyProtection="1">
      <protection locked="0"/>
    </xf>
    <xf numFmtId="164" fontId="32" fillId="0" borderId="23" xfId="2" applyNumberFormat="1" applyFont="1" applyFill="1" applyBorder="1"/>
    <xf numFmtId="171" fontId="16" fillId="0" borderId="0" xfId="0" applyNumberFormat="1" applyFont="1"/>
    <xf numFmtId="167" fontId="16" fillId="0" borderId="0" xfId="0" applyNumberFormat="1" applyFont="1"/>
    <xf numFmtId="167" fontId="27" fillId="0" borderId="0" xfId="0" applyNumberFormat="1" applyFont="1" applyFill="1"/>
    <xf numFmtId="0" fontId="19" fillId="0" borderId="0" xfId="0" applyFont="1"/>
    <xf numFmtId="166" fontId="4" fillId="0" borderId="0" xfId="0" applyNumberFormat="1" applyFont="1"/>
    <xf numFmtId="167" fontId="4" fillId="0" borderId="7" xfId="2" applyNumberFormat="1" applyFont="1" applyBorder="1" applyAlignment="1">
      <alignment horizontal="center" vertical="center"/>
    </xf>
    <xf numFmtId="167" fontId="4" fillId="0" borderId="2" xfId="2" applyNumberFormat="1" applyFont="1" applyBorder="1" applyAlignment="1">
      <alignment horizontal="center" vertical="center"/>
    </xf>
    <xf numFmtId="1" fontId="5" fillId="0" borderId="4" xfId="0" applyNumberFormat="1" applyFont="1" applyBorder="1" applyAlignment="1">
      <alignment vertical="center"/>
    </xf>
    <xf numFmtId="167" fontId="4" fillId="0" borderId="74" xfId="2" applyNumberFormat="1" applyFont="1" applyBorder="1" applyAlignment="1">
      <alignment horizontal="center" vertical="center"/>
    </xf>
    <xf numFmtId="167" fontId="4" fillId="0" borderId="6" xfId="2" applyNumberFormat="1" applyFont="1" applyBorder="1" applyAlignment="1">
      <alignment horizontal="center" vertical="center"/>
    </xf>
    <xf numFmtId="1" fontId="4" fillId="0" borderId="2" xfId="0" applyNumberFormat="1" applyFont="1" applyBorder="1" applyAlignment="1">
      <alignment horizontal="center" vertical="center"/>
    </xf>
    <xf numFmtId="1" fontId="4" fillId="0" borderId="89" xfId="0" applyNumberFormat="1" applyFont="1" applyBorder="1" applyAlignment="1">
      <alignment horizontal="center" vertical="center"/>
    </xf>
    <xf numFmtId="1" fontId="4" fillId="0" borderId="5" xfId="0" applyNumberFormat="1" applyFont="1" applyBorder="1" applyAlignment="1">
      <alignment horizontal="center" vertical="center"/>
    </xf>
    <xf numFmtId="167" fontId="44" fillId="0" borderId="5" xfId="2" applyNumberFormat="1" applyFont="1" applyBorder="1" applyAlignment="1">
      <alignment horizontal="right" vertical="center"/>
    </xf>
    <xf numFmtId="0" fontId="16" fillId="13" borderId="0" xfId="0" applyFont="1" applyFill="1"/>
    <xf numFmtId="0" fontId="4" fillId="0" borderId="0" xfId="0" applyFont="1" applyFill="1"/>
    <xf numFmtId="164" fontId="32" fillId="0" borderId="0" xfId="0" applyNumberFormat="1" applyFont="1" applyFill="1"/>
    <xf numFmtId="164" fontId="32" fillId="0" borderId="0" xfId="1" applyNumberFormat="1" applyFont="1" applyFill="1"/>
    <xf numFmtId="169" fontId="23" fillId="0" borderId="0" xfId="0" applyNumberFormat="1" applyFont="1" applyAlignment="1">
      <alignment vertical="center"/>
    </xf>
    <xf numFmtId="169" fontId="23" fillId="0" borderId="0" xfId="0" applyNumberFormat="1" applyFont="1" applyAlignment="1">
      <alignment horizontal="centerContinuous" vertical="center"/>
    </xf>
    <xf numFmtId="169" fontId="23" fillId="0" borderId="70" xfId="0" applyNumberFormat="1" applyFont="1" applyBorder="1" applyAlignment="1">
      <alignment horizontal="centerContinuous" vertical="center"/>
    </xf>
    <xf numFmtId="0" fontId="13" fillId="0" borderId="0" xfId="0" applyFont="1"/>
    <xf numFmtId="0" fontId="19" fillId="0" borderId="0" xfId="0" quotePrefix="1" applyFont="1" applyAlignment="1">
      <alignment horizontal="right"/>
    </xf>
    <xf numFmtId="0" fontId="19" fillId="0" borderId="0" xfId="0" applyFont="1" applyAlignment="1">
      <alignment horizontal="right"/>
    </xf>
    <xf numFmtId="0" fontId="23" fillId="0" borderId="68" xfId="0" applyFont="1" applyBorder="1" applyAlignment="1">
      <alignment horizontal="centerContinuous" vertical="center"/>
    </xf>
    <xf numFmtId="0" fontId="23" fillId="0" borderId="69" xfId="0" applyFont="1" applyBorder="1" applyAlignment="1">
      <alignment horizontal="centerContinuous" vertical="center"/>
    </xf>
    <xf numFmtId="0" fontId="23" fillId="0" borderId="69" xfId="0" applyFont="1" applyBorder="1" applyAlignment="1">
      <alignment horizontal="centerContinuous" vertical="center" wrapText="1"/>
    </xf>
    <xf numFmtId="0" fontId="23" fillId="0" borderId="0" xfId="0" applyFont="1"/>
    <xf numFmtId="0" fontId="23" fillId="0" borderId="7" xfId="0" applyFont="1" applyBorder="1"/>
    <xf numFmtId="0" fontId="23" fillId="0" borderId="70" xfId="0" applyFont="1" applyBorder="1"/>
    <xf numFmtId="0" fontId="23" fillId="0" borderId="0" xfId="0" applyFont="1" applyAlignment="1">
      <alignment horizontal="center" vertical="center"/>
    </xf>
    <xf numFmtId="168" fontId="24" fillId="0" borderId="70" xfId="0" applyNumberFormat="1" applyFont="1" applyBorder="1" applyAlignment="1">
      <alignment horizontal="center" vertical="center"/>
    </xf>
    <xf numFmtId="0" fontId="24" fillId="0" borderId="7" xfId="0" applyFont="1" applyBorder="1"/>
    <xf numFmtId="0" fontId="24" fillId="0" borderId="0" xfId="0" applyFont="1"/>
    <xf numFmtId="0" fontId="24" fillId="0" borderId="70" xfId="0" applyFont="1" applyBorder="1"/>
    <xf numFmtId="0" fontId="24" fillId="0" borderId="28" xfId="0" applyFont="1" applyBorder="1" applyAlignment="1">
      <alignment horizontal="center" vertical="center"/>
    </xf>
    <xf numFmtId="169" fontId="24" fillId="0" borderId="0" xfId="0" applyNumberFormat="1" applyFont="1" applyAlignment="1">
      <alignment vertical="center"/>
    </xf>
    <xf numFmtId="169" fontId="24" fillId="0" borderId="70" xfId="0" applyNumberFormat="1" applyFont="1" applyBorder="1" applyAlignment="1">
      <alignment vertical="center"/>
    </xf>
    <xf numFmtId="169" fontId="24" fillId="0" borderId="28" xfId="0" applyNumberFormat="1" applyFont="1" applyBorder="1" applyAlignment="1">
      <alignment horizontal="right"/>
    </xf>
    <xf numFmtId="168" fontId="24" fillId="0" borderId="0" xfId="0" applyNumberFormat="1" applyFont="1" applyAlignment="1">
      <alignment horizontal="center" vertical="center"/>
    </xf>
    <xf numFmtId="0" fontId="24" fillId="0" borderId="7" xfId="0" applyFont="1" applyBorder="1" applyAlignment="1">
      <alignment horizontal="center" vertical="center"/>
    </xf>
    <xf numFmtId="2" fontId="24" fillId="0" borderId="0" xfId="0" applyNumberFormat="1" applyFont="1"/>
    <xf numFmtId="0" fontId="24" fillId="0" borderId="70" xfId="0" applyFont="1" applyBorder="1" applyAlignment="1">
      <alignment vertical="center"/>
    </xf>
    <xf numFmtId="0" fontId="24" fillId="0" borderId="7" xfId="0" applyFont="1" applyBorder="1" applyAlignment="1">
      <alignment vertical="center"/>
    </xf>
    <xf numFmtId="0" fontId="24" fillId="0" borderId="0" xfId="0" applyFont="1" applyAlignment="1">
      <alignment vertical="center"/>
    </xf>
    <xf numFmtId="169" fontId="24" fillId="0" borderId="70" xfId="0" applyNumberFormat="1" applyFont="1" applyBorder="1" applyAlignment="1">
      <alignment horizontal="centerContinuous" vertical="center"/>
    </xf>
    <xf numFmtId="170" fontId="24" fillId="0" borderId="28" xfId="0" applyNumberFormat="1" applyFont="1" applyBorder="1" applyAlignment="1">
      <alignment vertical="center"/>
    </xf>
    <xf numFmtId="0" fontId="24" fillId="0" borderId="71" xfId="0" applyFont="1" applyBorder="1"/>
    <xf numFmtId="0" fontId="24" fillId="0" borderId="26" xfId="0" applyFont="1" applyBorder="1"/>
    <xf numFmtId="0" fontId="24" fillId="0" borderId="72" xfId="0" applyFont="1" applyBorder="1"/>
    <xf numFmtId="0" fontId="24" fillId="0" borderId="24" xfId="0" applyFont="1" applyBorder="1" applyAlignment="1">
      <alignment vertical="center"/>
    </xf>
    <xf numFmtId="0" fontId="24" fillId="0" borderId="25" xfId="0" applyFont="1" applyBorder="1" applyAlignment="1">
      <alignment vertical="center"/>
    </xf>
    <xf numFmtId="0" fontId="24" fillId="0" borderId="67" xfId="0" applyFont="1" applyBorder="1" applyAlignment="1">
      <alignment vertical="center"/>
    </xf>
    <xf numFmtId="0" fontId="24" fillId="0" borderId="7" xfId="0" applyFont="1" applyBorder="1" applyAlignment="1">
      <alignment horizontal="centerContinuous" vertical="center"/>
    </xf>
    <xf numFmtId="0" fontId="24" fillId="0" borderId="0" xfId="0" applyFont="1" applyAlignment="1">
      <alignment horizontal="centerContinuous" vertical="center"/>
    </xf>
    <xf numFmtId="0" fontId="24" fillId="0" borderId="70" xfId="0" applyFont="1" applyBorder="1" applyAlignment="1">
      <alignment horizontal="centerContinuous" vertical="center"/>
    </xf>
    <xf numFmtId="2" fontId="24" fillId="0" borderId="7" xfId="0" applyNumberFormat="1" applyFont="1" applyBorder="1" applyAlignment="1">
      <alignment horizontal="center" vertical="center"/>
    </xf>
    <xf numFmtId="1" fontId="24" fillId="0" borderId="28" xfId="0" applyNumberFormat="1" applyFont="1" applyBorder="1" applyAlignment="1">
      <alignment horizontal="center" vertical="center"/>
    </xf>
    <xf numFmtId="2" fontId="24" fillId="0" borderId="0" xfId="0" applyNumberFormat="1" applyFont="1" applyAlignment="1">
      <alignment vertical="center"/>
    </xf>
    <xf numFmtId="2" fontId="24" fillId="0" borderId="70" xfId="0" applyNumberFormat="1" applyFont="1" applyBorder="1" applyAlignment="1">
      <alignment vertical="center"/>
    </xf>
    <xf numFmtId="2" fontId="24" fillId="0" borderId="28" xfId="0" applyNumberFormat="1" applyFont="1" applyBorder="1" applyAlignment="1">
      <alignment vertical="center"/>
    </xf>
    <xf numFmtId="169" fontId="23" fillId="0" borderId="0" xfId="0" applyNumberFormat="1" applyFont="1"/>
    <xf numFmtId="2" fontId="24" fillId="0" borderId="7" xfId="0" applyNumberFormat="1" applyFont="1" applyBorder="1"/>
    <xf numFmtId="2" fontId="24" fillId="0" borderId="70" xfId="0" applyNumberFormat="1" applyFont="1" applyBorder="1"/>
    <xf numFmtId="0" fontId="26" fillId="0" borderId="0" xfId="0" applyFont="1" applyAlignment="1">
      <alignment horizontal="left"/>
    </xf>
    <xf numFmtId="169" fontId="24" fillId="0" borderId="73" xfId="0" applyNumberFormat="1" applyFont="1" applyBorder="1" applyAlignment="1">
      <alignment vertical="center"/>
    </xf>
    <xf numFmtId="0" fontId="23" fillId="0" borderId="7" xfId="0" applyFont="1" applyBorder="1" applyAlignment="1">
      <alignment horizontal="centerContinuous" vertical="center"/>
    </xf>
    <xf numFmtId="0" fontId="23" fillId="0" borderId="0" xfId="0" applyFont="1" applyAlignment="1">
      <alignment horizontal="centerContinuous"/>
    </xf>
    <xf numFmtId="0" fontId="23" fillId="0" borderId="0" xfId="0" applyFont="1" applyAlignment="1">
      <alignment horizontal="centerContinuous" vertical="center"/>
    </xf>
    <xf numFmtId="0" fontId="22" fillId="0" borderId="0" xfId="0" applyFont="1" applyAlignment="1">
      <alignment vertical="center"/>
    </xf>
    <xf numFmtId="0" fontId="23" fillId="0" borderId="70" xfId="0" applyFont="1" applyBorder="1" applyAlignment="1">
      <alignment horizontal="centerContinuous" vertical="center"/>
    </xf>
    <xf numFmtId="0" fontId="23" fillId="0" borderId="23"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75" xfId="0" applyFont="1" applyBorder="1" applyAlignment="1">
      <alignment horizontal="center" vertical="center"/>
    </xf>
    <xf numFmtId="0" fontId="23" fillId="0" borderId="0" xfId="0" applyFont="1" applyAlignment="1">
      <alignment vertical="center"/>
    </xf>
    <xf numFmtId="0" fontId="23" fillId="0" borderId="70" xfId="0" applyFont="1" applyBorder="1" applyAlignment="1">
      <alignment vertical="center"/>
    </xf>
    <xf numFmtId="0" fontId="23" fillId="0" borderId="77" xfId="0" applyFont="1" applyBorder="1" applyAlignment="1">
      <alignment horizontal="centerContinuous" vertical="top"/>
    </xf>
    <xf numFmtId="0" fontId="23" fillId="0" borderId="78" xfId="0" applyFont="1" applyBorder="1" applyAlignment="1">
      <alignment horizontal="centerContinuous" vertical="top"/>
    </xf>
    <xf numFmtId="0" fontId="23" fillId="0" borderId="79" xfId="0" applyFont="1" applyBorder="1" applyAlignment="1">
      <alignment horizontal="centerContinuous" vertical="center"/>
    </xf>
    <xf numFmtId="0" fontId="23" fillId="0" borderId="80" xfId="0" applyFont="1" applyBorder="1" applyAlignment="1">
      <alignment horizontal="centerContinuous" vertical="center"/>
    </xf>
    <xf numFmtId="0" fontId="23" fillId="0" borderId="81" xfId="0" applyFont="1" applyBorder="1" applyAlignment="1">
      <alignment horizontal="centerContinuous"/>
    </xf>
    <xf numFmtId="0" fontId="23" fillId="0" borderId="82" xfId="0" applyFont="1" applyBorder="1" applyAlignment="1">
      <alignment horizontal="centerContinuous"/>
    </xf>
    <xf numFmtId="169" fontId="23" fillId="0" borderId="7" xfId="0" applyNumberFormat="1" applyFont="1" applyBorder="1" applyAlignment="1">
      <alignment vertical="center"/>
    </xf>
    <xf numFmtId="0" fontId="23" fillId="0" borderId="7" xfId="0" applyFont="1" applyBorder="1" applyAlignment="1">
      <alignment vertical="center"/>
    </xf>
    <xf numFmtId="0" fontId="23" fillId="0" borderId="71" xfId="0" applyFont="1" applyBorder="1" applyAlignment="1">
      <alignment vertical="center"/>
    </xf>
    <xf numFmtId="0" fontId="23" fillId="0" borderId="72" xfId="0" applyFont="1" applyBorder="1"/>
    <xf numFmtId="0" fontId="23" fillId="0" borderId="0" xfId="0" applyFont="1" applyAlignment="1">
      <alignment horizontal="right" vertical="center"/>
    </xf>
    <xf numFmtId="0" fontId="23" fillId="0" borderId="0" xfId="0" applyFont="1" applyAlignment="1">
      <alignment horizontal="center" vertical="center"/>
    </xf>
    <xf numFmtId="0" fontId="15" fillId="2" borderId="25"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2" xfId="0" applyFont="1" applyFill="1" applyBorder="1" applyAlignment="1">
      <alignment horizontal="center" vertical="center" wrapText="1"/>
    </xf>
    <xf numFmtId="0" fontId="15" fillId="5" borderId="74" xfId="0" applyFont="1" applyFill="1" applyBorder="1" applyAlignment="1">
      <alignment horizontal="center" vertical="center"/>
    </xf>
    <xf numFmtId="0" fontId="15" fillId="5" borderId="75" xfId="0" applyFont="1" applyFill="1" applyBorder="1" applyAlignment="1">
      <alignment horizontal="center" vertical="center"/>
    </xf>
    <xf numFmtId="0" fontId="15" fillId="5" borderId="76" xfId="0" applyFont="1" applyFill="1" applyBorder="1" applyAlignment="1">
      <alignment horizontal="center" vertical="center"/>
    </xf>
    <xf numFmtId="0" fontId="15" fillId="8" borderId="74" xfId="0" applyFont="1" applyFill="1" applyBorder="1" applyAlignment="1">
      <alignment horizontal="center" vertical="center"/>
    </xf>
    <xf numFmtId="0" fontId="15" fillId="8" borderId="75" xfId="0" applyFont="1" applyFill="1" applyBorder="1" applyAlignment="1">
      <alignment horizontal="center" vertical="center"/>
    </xf>
    <xf numFmtId="0" fontId="15" fillId="8" borderId="76" xfId="0" applyFont="1" applyFill="1" applyBorder="1" applyAlignment="1">
      <alignment horizontal="center" vertical="center"/>
    </xf>
    <xf numFmtId="0" fontId="15" fillId="9" borderId="74" xfId="0" applyFont="1" applyFill="1" applyBorder="1" applyAlignment="1">
      <alignment horizontal="center" vertical="center"/>
    </xf>
    <xf numFmtId="0" fontId="15" fillId="9" borderId="75" xfId="0" applyFont="1" applyFill="1" applyBorder="1" applyAlignment="1">
      <alignment horizontal="center" vertical="center"/>
    </xf>
    <xf numFmtId="0" fontId="15" fillId="9" borderId="76" xfId="0" applyFont="1" applyFill="1" applyBorder="1" applyAlignment="1">
      <alignment horizontal="center" vertical="center"/>
    </xf>
    <xf numFmtId="0" fontId="33" fillId="0" borderId="25" xfId="0" applyFont="1" applyFill="1" applyBorder="1" applyAlignment="1">
      <alignment horizontal="center" vertical="center" wrapText="1"/>
    </xf>
    <xf numFmtId="0" fontId="15" fillId="7" borderId="74" xfId="0" applyFont="1" applyFill="1" applyBorder="1" applyAlignment="1">
      <alignment horizontal="center" vertical="center"/>
    </xf>
    <xf numFmtId="0" fontId="15" fillId="7" borderId="75" xfId="0" applyFont="1" applyFill="1" applyBorder="1" applyAlignment="1">
      <alignment horizontal="center" vertical="center"/>
    </xf>
    <xf numFmtId="0" fontId="15" fillId="7" borderId="76" xfId="0" applyFont="1" applyFill="1" applyBorder="1" applyAlignment="1">
      <alignment horizontal="center" vertical="center"/>
    </xf>
    <xf numFmtId="0" fontId="19" fillId="2" borderId="23" xfId="0" applyFont="1" applyFill="1" applyBorder="1" applyAlignment="1" applyProtection="1">
      <alignment horizontal="center"/>
      <protection locked="0"/>
    </xf>
    <xf numFmtId="0" fontId="11" fillId="2" borderId="0" xfId="0" applyFont="1" applyFill="1" applyAlignment="1">
      <alignment horizontal="left" vertical="top" wrapText="1"/>
    </xf>
    <xf numFmtId="0" fontId="15" fillId="2" borderId="47" xfId="0" applyFont="1" applyFill="1" applyBorder="1" applyAlignment="1">
      <alignment horizontal="right" wrapText="1" indent="1"/>
    </xf>
    <xf numFmtId="0" fontId="15" fillId="2" borderId="48" xfId="0" applyFont="1" applyFill="1" applyBorder="1" applyAlignment="1">
      <alignment horizontal="right" wrapText="1" indent="1"/>
    </xf>
    <xf numFmtId="0" fontId="15" fillId="2" borderId="0" xfId="0" applyFont="1" applyFill="1" applyBorder="1" applyAlignment="1">
      <alignment horizontal="right" wrapText="1" indent="1"/>
    </xf>
    <xf numFmtId="0" fontId="15" fillId="2" borderId="50" xfId="0" applyFont="1" applyFill="1" applyBorder="1" applyAlignment="1">
      <alignment horizontal="right" wrapText="1" indent="1"/>
    </xf>
    <xf numFmtId="0" fontId="15" fillId="2" borderId="0" xfId="0" applyFont="1" applyFill="1" applyBorder="1" applyAlignment="1">
      <alignment horizontal="right" vertical="top" wrapText="1" indent="1"/>
    </xf>
    <xf numFmtId="0" fontId="15" fillId="2" borderId="50" xfId="0" applyFont="1" applyFill="1" applyBorder="1" applyAlignment="1">
      <alignment horizontal="right" vertical="top" wrapText="1" indent="1"/>
    </xf>
    <xf numFmtId="0" fontId="15" fillId="2" borderId="52" xfId="0" applyFont="1" applyFill="1" applyBorder="1" applyAlignment="1">
      <alignment horizontal="right" vertical="top" wrapText="1" indent="1"/>
    </xf>
    <xf numFmtId="0" fontId="15" fillId="2" borderId="53" xfId="0" applyFont="1" applyFill="1" applyBorder="1" applyAlignment="1">
      <alignment horizontal="right" vertical="top" wrapText="1" indent="1"/>
    </xf>
    <xf numFmtId="0" fontId="1" fillId="2" borderId="0" xfId="0" applyFont="1" applyFill="1" applyAlignment="1" applyProtection="1">
      <alignment horizontal="left" vertical="center"/>
      <protection locked="0"/>
    </xf>
    <xf numFmtId="0" fontId="1" fillId="0" borderId="15" xfId="0" applyFont="1" applyBorder="1" applyAlignment="1" applyProtection="1">
      <alignment vertical="center"/>
    </xf>
    <xf numFmtId="0" fontId="1" fillId="0" borderId="30" xfId="0" applyFont="1" applyBorder="1" applyAlignment="1" applyProtection="1">
      <alignment vertical="center"/>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14" fillId="0" borderId="0" xfId="0" applyFont="1" applyAlignment="1">
      <alignment horizontal="left" vertical="center" wrapText="1"/>
    </xf>
    <xf numFmtId="0" fontId="1" fillId="5" borderId="15" xfId="0" applyFont="1" applyFill="1" applyBorder="1" applyAlignment="1" applyProtection="1">
      <alignment vertical="center"/>
      <protection locked="0"/>
    </xf>
    <xf numFmtId="0" fontId="1" fillId="5" borderId="30" xfId="0" applyFont="1" applyFill="1" applyBorder="1" applyAlignment="1" applyProtection="1">
      <alignment vertical="center"/>
      <protection locked="0"/>
    </xf>
    <xf numFmtId="4" fontId="1" fillId="0" borderId="15"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1" fillId="0" borderId="17" xfId="0" applyNumberFormat="1" applyFont="1" applyBorder="1" applyAlignment="1">
      <alignment horizontal="center" vertical="center"/>
    </xf>
    <xf numFmtId="4" fontId="1" fillId="0" borderId="3" xfId="0" applyNumberFormat="1" applyFont="1" applyBorder="1" applyAlignment="1">
      <alignment horizontal="center" vertical="center"/>
    </xf>
    <xf numFmtId="4" fontId="1" fillId="0" borderId="4" xfId="0" applyNumberFormat="1" applyFont="1" applyBorder="1" applyAlignment="1">
      <alignment horizontal="center" vertical="center"/>
    </xf>
    <xf numFmtId="4" fontId="1" fillId="0" borderId="5" xfId="0" applyNumberFormat="1" applyFont="1" applyBorder="1" applyAlignment="1">
      <alignment horizontal="center" vertical="center"/>
    </xf>
    <xf numFmtId="0" fontId="0" fillId="0" borderId="15" xfId="0" applyFont="1" applyBorder="1" applyAlignment="1">
      <alignment horizontal="left" vertical="center"/>
    </xf>
    <xf numFmtId="0" fontId="0" fillId="0" borderId="16"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1" fillId="0" borderId="17" xfId="0" applyFont="1" applyFill="1" applyBorder="1" applyAlignment="1">
      <alignment horizontal="center" vertical="center"/>
    </xf>
    <xf numFmtId="0" fontId="1" fillId="0" borderId="5"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16" fillId="0" borderId="60"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25" fillId="0" borderId="7" xfId="0" applyFont="1" applyBorder="1" applyAlignment="1">
      <alignment horizontal="center" vertical="center"/>
    </xf>
    <xf numFmtId="0" fontId="25" fillId="0" borderId="0" xfId="0" applyFont="1" applyAlignment="1">
      <alignment horizontal="center" vertical="center"/>
    </xf>
    <xf numFmtId="0" fontId="25" fillId="0" borderId="70" xfId="0" applyFont="1" applyBorder="1" applyAlignment="1">
      <alignment horizontal="center" vertical="center"/>
    </xf>
    <xf numFmtId="0" fontId="24" fillId="0" borderId="7" xfId="0" applyFont="1" applyBorder="1" applyAlignment="1">
      <alignment horizontal="center"/>
    </xf>
    <xf numFmtId="0" fontId="24" fillId="0" borderId="0" xfId="0" applyFont="1" applyAlignment="1">
      <alignment horizontal="center"/>
    </xf>
    <xf numFmtId="0" fontId="24" fillId="0" borderId="70" xfId="0" applyFont="1" applyBorder="1" applyAlignment="1">
      <alignment horizontal="center"/>
    </xf>
    <xf numFmtId="2" fontId="24" fillId="0" borderId="7" xfId="0" applyNumberFormat="1" applyFont="1" applyBorder="1" applyAlignment="1">
      <alignment horizontal="center"/>
    </xf>
    <xf numFmtId="2" fontId="24" fillId="0" borderId="0" xfId="0" applyNumberFormat="1" applyFont="1" applyAlignment="1">
      <alignment horizontal="center"/>
    </xf>
    <xf numFmtId="2" fontId="24" fillId="0" borderId="70" xfId="0" applyNumberFormat="1" applyFont="1" applyBorder="1" applyAlignment="1">
      <alignment horizontal="center"/>
    </xf>
    <xf numFmtId="0" fontId="21" fillId="0" borderId="24" xfId="0" applyFont="1" applyBorder="1" applyAlignment="1">
      <alignment horizontal="center"/>
    </xf>
    <xf numFmtId="0" fontId="22" fillId="0" borderId="25" xfId="0" applyFont="1" applyBorder="1" applyAlignment="1">
      <alignment horizontal="center"/>
    </xf>
    <xf numFmtId="0" fontId="22" fillId="0" borderId="67" xfId="0" applyFont="1" applyBorder="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0" fontId="23" fillId="0" borderId="70" xfId="0" applyFont="1" applyBorder="1" applyAlignment="1">
      <alignment horizontal="center" vertical="center"/>
    </xf>
    <xf numFmtId="0" fontId="23" fillId="0" borderId="74" xfId="0" applyFont="1" applyBorder="1" applyAlignment="1">
      <alignment horizontal="center" vertical="center" wrapText="1"/>
    </xf>
    <xf numFmtId="0" fontId="23" fillId="0" borderId="75" xfId="0" applyFont="1" applyBorder="1" applyAlignment="1">
      <alignment horizontal="center" vertical="center"/>
    </xf>
    <xf numFmtId="0" fontId="23" fillId="0" borderId="75" xfId="0" applyFont="1" applyBorder="1" applyAlignment="1">
      <alignment horizontal="center" vertical="center" wrapText="1"/>
    </xf>
    <xf numFmtId="0" fontId="23" fillId="0" borderId="76" xfId="0" applyFont="1" applyBorder="1" applyAlignment="1">
      <alignment horizontal="center" vertical="center"/>
    </xf>
    <xf numFmtId="0" fontId="22" fillId="0" borderId="25" xfId="0" applyFont="1" applyBorder="1" applyAlignment="1">
      <alignment horizontal="left" vertical="top" wrapText="1"/>
    </xf>
    <xf numFmtId="0" fontId="23" fillId="0" borderId="25" xfId="0" applyFont="1" applyBorder="1" applyAlignment="1">
      <alignment horizontal="left" vertical="top"/>
    </xf>
    <xf numFmtId="0" fontId="24" fillId="0" borderId="7" xfId="0" applyFont="1" applyBorder="1" applyAlignment="1">
      <alignment horizontal="center" vertical="center"/>
    </xf>
    <xf numFmtId="0" fontId="24" fillId="0" borderId="0" xfId="0" applyFont="1" applyAlignment="1">
      <alignment horizontal="center" vertical="center"/>
    </xf>
    <xf numFmtId="0" fontId="24" fillId="0" borderId="70" xfId="0" applyFont="1" applyBorder="1" applyAlignment="1">
      <alignment horizontal="center" vertical="center"/>
    </xf>
    <xf numFmtId="0" fontId="20" fillId="0" borderId="0" xfId="0" quotePrefix="1" applyFont="1" applyAlignment="1">
      <alignment horizontal="center"/>
    </xf>
    <xf numFmtId="0" fontId="20" fillId="0" borderId="0" xfId="0" applyFont="1" applyAlignment="1">
      <alignment horizontal="center"/>
    </xf>
    <xf numFmtId="0" fontId="21" fillId="0" borderId="24"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72" xfId="0" applyFont="1" applyBorder="1" applyAlignment="1">
      <alignment horizontal="center" vertical="center" wrapText="1"/>
    </xf>
    <xf numFmtId="0" fontId="21" fillId="0" borderId="25" xfId="0" applyFont="1" applyBorder="1" applyAlignment="1">
      <alignment horizontal="center"/>
    </xf>
    <xf numFmtId="0" fontId="21" fillId="0" borderId="67" xfId="0" applyFont="1" applyBorder="1" applyAlignment="1">
      <alignment horizontal="center"/>
    </xf>
    <xf numFmtId="0" fontId="23" fillId="0" borderId="7" xfId="0" applyFont="1" applyBorder="1" applyAlignment="1">
      <alignment horizontal="center" vertical="center"/>
    </xf>
  </cellXfs>
  <cellStyles count="5">
    <cellStyle name="Comma" xfId="2" builtinId="3"/>
    <cellStyle name="Normal" xfId="0" builtinId="0"/>
    <cellStyle name="Normal 2" xfId="3" xr:uid="{00000000-0005-0000-0000-000002000000}"/>
    <cellStyle name="Percent" xfId="1" builtinId="5"/>
    <cellStyle name="Percent 2" xfId="4" xr:uid="{00000000-0005-0000-0000-000004000000}"/>
  </cellStyles>
  <dxfs count="5">
    <dxf>
      <font>
        <b/>
        <i val="0"/>
        <color rgb="FFFF0000"/>
      </font>
    </dxf>
    <dxf>
      <font>
        <strike val="0"/>
        <outline val="0"/>
        <shadow val="0"/>
        <u val="none"/>
        <vertAlign val="baseline"/>
        <sz val="10"/>
        <color theme="1"/>
        <name val="Calibri"/>
        <scheme val="minor"/>
      </font>
      <numFmt numFmtId="2" formatCode="0.00"/>
    </dxf>
    <dxf>
      <font>
        <strike val="0"/>
        <outline val="0"/>
        <shadow val="0"/>
        <u val="none"/>
        <vertAlign val="baseline"/>
        <sz val="10"/>
        <color theme="1"/>
        <name val="Calibri"/>
        <scheme val="minor"/>
      </font>
      <numFmt numFmtId="172" formatCode="m/d/yyyy"/>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3723425865045891"/>
          <c:y val="0.2423089699573675"/>
          <c:w val="0.82882141005286758"/>
          <c:h val="0.49735010332122287"/>
        </c:manualLayout>
      </c:layout>
      <c:lineChart>
        <c:grouping val="standard"/>
        <c:varyColors val="0"/>
        <c:ser>
          <c:idx val="1"/>
          <c:order val="1"/>
          <c:tx>
            <c:strRef>
              <c:f>'Calcul du loyer indexé'!$G$38</c:f>
              <c:strCache>
                <c:ptCount val="1"/>
                <c:pt idx="0">
                  <c:v>Loyer brut</c:v>
                </c:pt>
              </c:strCache>
            </c:strRef>
          </c:tx>
          <c:spPr>
            <a:ln w="28575" cap="rnd">
              <a:solidFill>
                <a:srgbClr val="7030A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'Calcul du loyer indexé'!$H$37:$K$37</c:f>
              <c:numCache>
                <c:formatCode>_-* #,##0_-;\-* #,##0_-;_-* "-"??_-;_-@_-</c:formatCode>
                <c:ptCount val="4"/>
                <c:pt idx="0">
                  <c:v>167.75</c:v>
                </c:pt>
                <c:pt idx="1">
                  <c:v>457.08333333333331</c:v>
                </c:pt>
                <c:pt idx="2">
                  <c:v>533.08333333333337</c:v>
                </c:pt>
                <c:pt idx="3">
                  <c:v>639.70000000000005</c:v>
                </c:pt>
              </c:numCache>
            </c:numRef>
          </c:cat>
          <c:val>
            <c:numRef>
              <c:f>'Calcul du loyer indexé'!$H$38:$K$38</c:f>
              <c:numCache>
                <c:formatCode>_-* #,##0_-;\-* #,##0_-;_-* "-"??_-;_-@_-</c:formatCode>
                <c:ptCount val="4"/>
                <c:pt idx="0">
                  <c:v>16.775000000000002</c:v>
                </c:pt>
                <c:pt idx="1">
                  <c:v>159.97916666666666</c:v>
                </c:pt>
                <c:pt idx="2">
                  <c:v>186.57916666666668</c:v>
                </c:pt>
                <c:pt idx="3">
                  <c:v>186.57916666666668</c:v>
                </c:pt>
              </c:numCache>
            </c:numRef>
          </c:val>
          <c:smooth val="0"/>
          <c:extLst>
            <c:ext xmlns:c16="http://schemas.microsoft.com/office/drawing/2014/chart" uri="{C3380CC4-5D6E-409C-BE32-E72D297353CC}">
              <c16:uniqueId val="{00000001-90B3-4750-BBE1-395BE55C52F1}"/>
            </c:ext>
          </c:extLst>
        </c:ser>
        <c:dLbls>
          <c:dLblPos val="t"/>
          <c:showLegendKey val="0"/>
          <c:showVal val="1"/>
          <c:showCatName val="0"/>
          <c:showSerName val="0"/>
          <c:showPercent val="0"/>
          <c:showBubbleSize val="0"/>
        </c:dLbls>
        <c:smooth val="0"/>
        <c:axId val="368086160"/>
        <c:axId val="368080256"/>
        <c:extLst>
          <c:ext xmlns:c15="http://schemas.microsoft.com/office/drawing/2012/chart" uri="{02D57815-91ED-43cb-92C2-25804820EDAC}">
            <c15:filteredLineSeries>
              <c15:ser>
                <c:idx val="0"/>
                <c:order val="0"/>
                <c:tx>
                  <c:strRef>
                    <c:extLst>
                      <c:ext uri="{02D57815-91ED-43cb-92C2-25804820EDAC}">
                        <c15:formulaRef>
                          <c15:sqref>'Calcul du loyer indexé'!$G$37</c15:sqref>
                        </c15:formulaRef>
                      </c:ext>
                    </c:extLst>
                    <c:strCache>
                      <c:ptCount val="1"/>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'Calcul du loyer indexé'!$H$37:$K$37</c15:sqref>
                        </c15:formulaRef>
                      </c:ext>
                    </c:extLst>
                    <c:numCache>
                      <c:formatCode>_-* #,##0_-;\-* #,##0_-;_-* "-"??_-;_-@_-</c:formatCode>
                      <c:ptCount val="4"/>
                      <c:pt idx="0">
                        <c:v>167.75</c:v>
                      </c:pt>
                      <c:pt idx="1">
                        <c:v>457.08333333333331</c:v>
                      </c:pt>
                      <c:pt idx="2">
                        <c:v>533.08333333333337</c:v>
                      </c:pt>
                      <c:pt idx="3">
                        <c:v>639.70000000000005</c:v>
                      </c:pt>
                    </c:numCache>
                  </c:numRef>
                </c:cat>
                <c:val>
                  <c:numRef>
                    <c:extLst>
                      <c:ext uri="{02D57815-91ED-43cb-92C2-25804820EDAC}">
                        <c15:formulaRef>
                          <c15:sqref>'Calcul du loyer indexé'!$H$37:$K$37</c15:sqref>
                        </c15:formulaRef>
                      </c:ext>
                    </c:extLst>
                    <c:numCache>
                      <c:formatCode>_-* #,##0_-;\-* #,##0_-;_-* "-"??_-;_-@_-</c:formatCode>
                      <c:ptCount val="4"/>
                      <c:pt idx="0">
                        <c:v>167.75</c:v>
                      </c:pt>
                      <c:pt idx="1">
                        <c:v>457.08333333333331</c:v>
                      </c:pt>
                      <c:pt idx="2">
                        <c:v>533.08333333333337</c:v>
                      </c:pt>
                      <c:pt idx="3">
                        <c:v>639.70000000000005</c:v>
                      </c:pt>
                    </c:numCache>
                  </c:numRef>
                </c:val>
                <c:smooth val="0"/>
                <c:extLst>
                  <c:ext xmlns:c16="http://schemas.microsoft.com/office/drawing/2014/chart" uri="{C3380CC4-5D6E-409C-BE32-E72D297353CC}">
                    <c16:uniqueId val="{00000000-90B3-4750-BBE1-395BE55C52F1}"/>
                  </c:ext>
                </c:extLst>
              </c15:ser>
            </c15:filteredLineSeries>
          </c:ext>
        </c:extLst>
      </c:lineChart>
      <c:catAx>
        <c:axId val="368086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RND</a:t>
                </a:r>
              </a:p>
            </c:rich>
          </c:tx>
          <c:layout>
            <c:manualLayout>
              <c:xMode val="edge"/>
              <c:yMode val="edge"/>
              <c:x val="0.50406343046223101"/>
              <c:y val="0.8248237763911077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0_-;\-* #,##0_-;_-* &quot;-&quot;??_-;_-@_-"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8080256"/>
        <c:crosses val="autoZero"/>
        <c:auto val="1"/>
        <c:lblAlgn val="ctr"/>
        <c:lblOffset val="100"/>
        <c:noMultiLvlLbl val="0"/>
      </c:catAx>
      <c:valAx>
        <c:axId val="368080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Loyer burt, en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8086160"/>
        <c:crosses val="autoZero"/>
        <c:crossBetween val="between"/>
      </c:valAx>
      <c:spPr>
        <a:noFill/>
        <a:ln>
          <a:noFill/>
        </a:ln>
        <a:effectLst/>
      </c:spPr>
    </c:plotArea>
    <c:legend>
      <c:legendPos val="b"/>
      <c:layout>
        <c:manualLayout>
          <c:xMode val="edge"/>
          <c:yMode val="edge"/>
          <c:x val="0.40453116731080718"/>
          <c:y val="0.89024644189143709"/>
          <c:w val="0.25203746171239799"/>
          <c:h val="8.87230551856128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416169</xdr:colOff>
      <xdr:row>39</xdr:row>
      <xdr:rowOff>271244</xdr:rowOff>
    </xdr:from>
    <xdr:to>
      <xdr:col>10</xdr:col>
      <xdr:colOff>240909</xdr:colOff>
      <xdr:row>51</xdr:row>
      <xdr:rowOff>21982</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2</xdr:row>
      <xdr:rowOff>0</xdr:rowOff>
    </xdr:from>
    <xdr:to>
      <xdr:col>2</xdr:col>
      <xdr:colOff>2399124</xdr:colOff>
      <xdr:row>3</xdr:row>
      <xdr:rowOff>95576</xdr:rowOff>
    </xdr:to>
    <xdr:pic>
      <xdr:nvPicPr>
        <xdr:cNvPr id="3" name="Graphic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8200" y="182880"/>
          <a:ext cx="2399124" cy="280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119062</xdr:colOff>
      <xdr:row>2</xdr:row>
      <xdr:rowOff>13732</xdr:rowOff>
    </xdr:from>
    <xdr:to>
      <xdr:col>2</xdr:col>
      <xdr:colOff>755646</xdr:colOff>
      <xdr:row>3</xdr:row>
      <xdr:rowOff>141693</xdr:rowOff>
    </xdr:to>
    <xdr:pic>
      <xdr:nvPicPr>
        <xdr:cNvPr id="2" name="Graphic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5762" y="341392"/>
          <a:ext cx="2396804" cy="280361"/>
        </a:xfrm>
        <a:prstGeom prst="rect">
          <a:avLst/>
        </a:prstGeom>
      </xdr:spPr>
    </xdr:pic>
    <xdr:clientData/>
  </xdr:twoCellAnchor>
  <xdr:oneCellAnchor>
    <xdr:from>
      <xdr:col>6</xdr:col>
      <xdr:colOff>173935</xdr:colOff>
      <xdr:row>41</xdr:row>
      <xdr:rowOff>57978</xdr:rowOff>
    </xdr:from>
    <xdr:ext cx="2825749" cy="1219565"/>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870174" y="7603435"/>
          <a:ext cx="2825749" cy="12195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l"/>
          <a:r>
            <a:rPr lang="en-US" sz="600" i="1">
              <a:solidFill>
                <a:srgbClr val="FF0000"/>
              </a:solidFill>
            </a:rPr>
            <a:t>*</a:t>
          </a:r>
          <a:r>
            <a:rPr lang="en-US" sz="600" i="1"/>
            <a:t> Est un </a:t>
          </a:r>
          <a:r>
            <a:rPr lang="en-US" sz="600" b="1" i="1" u="sng"/>
            <a:t>enfant à charge </a:t>
          </a:r>
          <a:r>
            <a:rPr lang="en-US" sz="600" i="1"/>
            <a:t>:</a:t>
          </a:r>
        </a:p>
        <a:p>
          <a:pPr algn="l"/>
          <a:r>
            <a:rPr lang="en-US" sz="600" i="1"/>
            <a:t>1° l’enfant pour lequel un membre de la communauté domestique perçoit des allocations familiales, qui habite avec la communauté domestique dans le logement et qui y est déclaré;  ou </a:t>
          </a:r>
        </a:p>
        <a:p>
          <a:pPr algn="l"/>
          <a:r>
            <a:rPr lang="en-US" sz="600" i="1"/>
            <a:t>2° l’enfant jusqu’à l’âge de 27 ans, qui bénéficie de la protection liée à l’affiliation à l’assurance-maladie d’un membre de la communauté domestique soit au titre de l’article 7 du Code de la sécurité sociale, soit au titre de la législation d'un Etat avec lequel le Luxembourg est lié par un instrument bi- ou multilatéral de sécurité sociale, soit au titre d'un régime d’assurance-maladie en raison d'une activité au service d'un organisme international, qui habite avec la communauté domestique dans le logement et qui y est déclaré. Il en est de même si cet enfant bénéficie d’une rente d’orphelin à l’exclusion de tout autre revenu.</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105</xdr:row>
      <xdr:rowOff>39370</xdr:rowOff>
    </xdr:from>
    <xdr:to>
      <xdr:col>2</xdr:col>
      <xdr:colOff>0</xdr:colOff>
      <xdr:row>118</xdr:row>
      <xdr:rowOff>57216</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47750" y="18336895"/>
          <a:ext cx="0" cy="21228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fr-LU" sz="900" b="1" i="0" u="none" strike="noStrike" baseline="0">
              <a:solidFill>
                <a:srgbClr val="000000"/>
              </a:solidFill>
              <a:latin typeface="Arial"/>
              <a:cs typeface="Arial"/>
            </a:rPr>
            <a:t>Note explicative:</a:t>
          </a:r>
        </a:p>
        <a:p>
          <a:pPr algn="l" rtl="0">
            <a:defRPr sz="1000"/>
          </a:pPr>
          <a:r>
            <a:rPr lang="fr-LU" sz="900" b="0" i="0" u="none" strike="noStrike" baseline="0">
              <a:solidFill>
                <a:srgbClr val="000000"/>
              </a:solidFill>
              <a:latin typeface="Arial"/>
              <a:cs typeface="Arial"/>
            </a:rPr>
            <a:t>Pour l'IPCN le Règlement  du Conseil  (CE) n° 1688/98 modifiant le règlement de la Commission (CE) n° 1749/96 en ce qui concerne la couverture géographique et démographique de l'indice des prix à la consommation harmonisé, n'est pas appliqué. Ceci signifie que la pondération de l'IPCN ne tient pas compte des dépenses effectuées par les non-résidants sur le territoire économique du Luxembourg. </a:t>
          </a:r>
        </a:p>
        <a:p>
          <a:pPr algn="l" rtl="0">
            <a:defRPr sz="1000"/>
          </a:pPr>
          <a:r>
            <a:rPr lang="fr-LU" sz="900" b="0" i="0" u="none" strike="noStrike" baseline="0">
              <a:solidFill>
                <a:srgbClr val="000000"/>
              </a:solidFill>
              <a:latin typeface="Arial"/>
              <a:cs typeface="Arial"/>
            </a:rPr>
            <a:t>L'IPCN se distingue de l'indice des prix à la consommation harmonisé (IPCH) sur le seul point de la couverture géographique. En vertu des dispositions du règlement susmentionné, l'IPCH est passé au 1.1.2000 à une couverture correspondant au concept de consommation finale totale sur le territoire national, alors que la pondération de l'IPCN continue à reposer sur la dépense de consommation finale effectuée sur le territoire par les seuls ménages résidants. La procédure méthodologique et la technique statistique sont communes aux deux indices, de sorte que tous les écarts dans l'évolution s'expliquent exclusivement à partir des choix différents faits au niveau de la couverture.</a:t>
          </a:r>
        </a:p>
        <a:p>
          <a:pPr algn="l" rtl="0">
            <a:defRPr sz="1000"/>
          </a:pPr>
          <a:r>
            <a:rPr lang="fr-LU" sz="900" b="1" i="0" u="none" strike="noStrike" baseline="0">
              <a:solidFill>
                <a:srgbClr val="000000"/>
              </a:solidFill>
              <a:latin typeface="Arial"/>
              <a:cs typeface="Arial"/>
            </a:rPr>
            <a:t>Base juridique:</a:t>
          </a:r>
          <a:endParaRPr lang="fr-LU" sz="900" b="0" i="0" u="none" strike="noStrike" baseline="0">
            <a:solidFill>
              <a:srgbClr val="000000"/>
            </a:solidFill>
            <a:latin typeface="Arial"/>
            <a:cs typeface="Arial"/>
          </a:endParaRPr>
        </a:p>
        <a:p>
          <a:pPr algn="l" rtl="0">
            <a:defRPr sz="1000"/>
          </a:pPr>
          <a:r>
            <a:rPr lang="fr-LU" sz="900" b="0" i="0" u="none" strike="noStrike" baseline="0">
              <a:solidFill>
                <a:srgbClr val="000000"/>
              </a:solidFill>
              <a:latin typeface="Arial"/>
              <a:cs typeface="Arial"/>
            </a:rPr>
            <a:t>Loi modifiée du 22 juin 1963 fixant le régime des traitements des fonctionnaires de l'Etat / Loi du 27 mai 1975 portant généralisation de l'échelle mobile des salaires et traitements / Règlement grand-ducal du 20 décembre 1999 concernant l'établissement de l'indice des prix à la consommation / Règlements grand-ducaux annuels portant actualisation de la pondération de l'indice des prix à la consommation / Règlement du Conseil (CE) n° 2494/95 relatif aux indices des prix à la consommation harmonisés et règlements de la Commission (CE) pris en son exécution.</a:t>
          </a:r>
        </a:p>
        <a:p>
          <a:pPr algn="l" rtl="0">
            <a:defRPr sz="1000"/>
          </a:pPr>
          <a:endParaRPr lang="fr-LU"/>
        </a:p>
      </xdr:txBody>
    </xdr:sp>
    <xdr:clientData/>
  </xdr:twoCellAnchor>
  <xdr:twoCellAnchor>
    <xdr:from>
      <xdr:col>2</xdr:col>
      <xdr:colOff>0</xdr:colOff>
      <xdr:row>105</xdr:row>
      <xdr:rowOff>39370</xdr:rowOff>
    </xdr:from>
    <xdr:to>
      <xdr:col>2</xdr:col>
      <xdr:colOff>0</xdr:colOff>
      <xdr:row>118</xdr:row>
      <xdr:rowOff>57216</xdr:rowOff>
    </xdr:to>
    <xdr:sp macro="" textlink="">
      <xdr:nvSpPr>
        <xdr:cNvPr id="3" name="Text Box 59">
          <a:extLst>
            <a:ext uri="{FF2B5EF4-FFF2-40B4-BE49-F238E27FC236}">
              <a16:creationId xmlns:a16="http://schemas.microsoft.com/office/drawing/2014/main" id="{00000000-0008-0000-0400-000003000000}"/>
            </a:ext>
          </a:extLst>
        </xdr:cNvPr>
        <xdr:cNvSpPr txBox="1">
          <a:spLocks noChangeArrowheads="1"/>
        </xdr:cNvSpPr>
      </xdr:nvSpPr>
      <xdr:spPr bwMode="auto">
        <a:xfrm>
          <a:off x="1047750" y="18336895"/>
          <a:ext cx="0" cy="212287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fr-LU" sz="900" b="1" i="0" u="none" strike="noStrike" baseline="0">
              <a:solidFill>
                <a:srgbClr val="000000"/>
              </a:solidFill>
              <a:latin typeface="Arial"/>
              <a:cs typeface="Arial"/>
            </a:rPr>
            <a:t>Note explicative:</a:t>
          </a:r>
        </a:p>
        <a:p>
          <a:pPr algn="l" rtl="0">
            <a:defRPr sz="1000"/>
          </a:pPr>
          <a:r>
            <a:rPr lang="fr-LU" sz="900" b="0" i="0" u="none" strike="noStrike" baseline="0">
              <a:solidFill>
                <a:srgbClr val="000000"/>
              </a:solidFill>
              <a:latin typeface="Arial"/>
              <a:cs typeface="Arial"/>
            </a:rPr>
            <a:t>Pour l'IPCN le Règlement  du Conseil  (CE) n° 1688/98 modifiant le règlement de la Commission (CE) n° 1749/96 en ce qui concerne la couverture géographique et démographique de l'indice des prix à la consommation harmonisé, n'est pas appliqué. Ceci signifie que la pondération de l'IPCN ne tient pas compte des dépenses effectuées par les non-résidants sur le territoire économique du Luxembourg. </a:t>
          </a:r>
        </a:p>
        <a:p>
          <a:pPr algn="l" rtl="0">
            <a:defRPr sz="1000"/>
          </a:pPr>
          <a:r>
            <a:rPr lang="fr-LU" sz="900" b="0" i="0" u="none" strike="noStrike" baseline="0">
              <a:solidFill>
                <a:srgbClr val="000000"/>
              </a:solidFill>
              <a:latin typeface="Arial"/>
              <a:cs typeface="Arial"/>
            </a:rPr>
            <a:t>L'IPCN se distingue de l'indice des prix à la consommation harmonisé (IPCH) sur le seul point de la couverture géographique. En vertu des dispositions du règlement susmentionné, l'IPCH est passé au 1.1.2000 à une couverture correspondant au concept de consommation finale totale sur le territoire national, alors que la pondération de l'IPCN continue à reposer sur la dépense de consommation finale effectuée sur le territoire par les seuls ménages résidants. La procédure méthodologique et la technique statistique sont communes aux deux indices, de sorte que tous les écarts dans l'évolution s'expliquent exclusivement à partir des choix différents faits au niveau de la couverture.</a:t>
          </a:r>
        </a:p>
        <a:p>
          <a:pPr algn="l" rtl="0">
            <a:defRPr sz="1000"/>
          </a:pPr>
          <a:r>
            <a:rPr lang="fr-LU" sz="900" b="1" i="0" u="none" strike="noStrike" baseline="0">
              <a:solidFill>
                <a:srgbClr val="000000"/>
              </a:solidFill>
              <a:latin typeface="Arial"/>
              <a:cs typeface="Arial"/>
            </a:rPr>
            <a:t>Base juridique:</a:t>
          </a:r>
          <a:endParaRPr lang="fr-LU" sz="900" b="0" i="0" u="none" strike="noStrike" baseline="0">
            <a:solidFill>
              <a:srgbClr val="000000"/>
            </a:solidFill>
            <a:latin typeface="Arial"/>
            <a:cs typeface="Arial"/>
          </a:endParaRPr>
        </a:p>
        <a:p>
          <a:pPr algn="l" rtl="0">
            <a:defRPr sz="1000"/>
          </a:pPr>
          <a:r>
            <a:rPr lang="fr-LU" sz="900" b="0" i="0" u="none" strike="noStrike" baseline="0">
              <a:solidFill>
                <a:srgbClr val="000000"/>
              </a:solidFill>
              <a:latin typeface="Arial"/>
              <a:cs typeface="Arial"/>
            </a:rPr>
            <a:t>Loi modifiée du 22 juin 1963 fixant le régime des traitements des fonctionnaires de l'Etat / Loi du 27 mai 1975 portant généralisation de l'échelle mobile des salaires et traitements / Règlement grand-ducal du 20 décembre 1999 concernant l'établissement de l'indice des prix à la consommation / Règlements grand-ducaux annuels portant actualisation de la pondération de l'indice des prix à la consommation / Règlement du Conseil (CE) n° 2494/95 relatif aux indices des prix à la consommation harmonisés et règlements de la Commission (CE) pris en son exécution.</a:t>
          </a:r>
        </a:p>
        <a:p>
          <a:pPr algn="l" rtl="0">
            <a:defRPr sz="1000"/>
          </a:pPr>
          <a:endParaRPr lang="fr-LU"/>
        </a:p>
      </xdr:txBody>
    </xdr:sp>
    <xdr:clientData/>
  </xdr:twoCellAnchor>
  <xdr:twoCellAnchor>
    <xdr:from>
      <xdr:col>2</xdr:col>
      <xdr:colOff>0</xdr:colOff>
      <xdr:row>104</xdr:row>
      <xdr:rowOff>39370</xdr:rowOff>
    </xdr:from>
    <xdr:to>
      <xdr:col>2</xdr:col>
      <xdr:colOff>0</xdr:colOff>
      <xdr:row>117</xdr:row>
      <xdr:rowOff>41384</xdr:rowOff>
    </xdr:to>
    <xdr:sp macro="" textlink="">
      <xdr:nvSpPr>
        <xdr:cNvPr id="4" name="Text Box 1">
          <a:extLst>
            <a:ext uri="{FF2B5EF4-FFF2-40B4-BE49-F238E27FC236}">
              <a16:creationId xmlns:a16="http://schemas.microsoft.com/office/drawing/2014/main" id="{F43131EE-F2B2-41D3-93E2-B6BC0F35AC2E}"/>
            </a:ext>
          </a:extLst>
        </xdr:cNvPr>
        <xdr:cNvSpPr txBox="1">
          <a:spLocks noChangeArrowheads="1"/>
        </xdr:cNvSpPr>
      </xdr:nvSpPr>
      <xdr:spPr bwMode="auto">
        <a:xfrm>
          <a:off x="1009650" y="18336895"/>
          <a:ext cx="0" cy="21070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fr-LU" sz="900" b="1" i="0" u="none" strike="noStrike" baseline="0">
              <a:solidFill>
                <a:srgbClr val="000000"/>
              </a:solidFill>
              <a:latin typeface="Arial"/>
              <a:cs typeface="Arial"/>
            </a:rPr>
            <a:t>Note explicative:</a:t>
          </a:r>
        </a:p>
        <a:p>
          <a:pPr algn="l" rtl="0">
            <a:defRPr sz="1000"/>
          </a:pPr>
          <a:r>
            <a:rPr lang="fr-LU" sz="900" b="0" i="0" u="none" strike="noStrike" baseline="0">
              <a:solidFill>
                <a:srgbClr val="000000"/>
              </a:solidFill>
              <a:latin typeface="Arial"/>
              <a:cs typeface="Arial"/>
            </a:rPr>
            <a:t>Pour l'IPCN le Règlement  du Conseil  (CE) n° 1688/98 modifiant le règlement de la Commission (CE) n° 1749/96 en ce qui concerne la couverture géographique et démographique de l'indice des prix à la consommation harmonisé, n'est pas appliqué. Ceci signifie que la pondération de l'IPCN ne tient pas compte des dépenses effectuées par les non-résidants sur le territoire économique du Luxembourg. </a:t>
          </a:r>
        </a:p>
        <a:p>
          <a:pPr algn="l" rtl="0">
            <a:defRPr sz="1000"/>
          </a:pPr>
          <a:r>
            <a:rPr lang="fr-LU" sz="900" b="0" i="0" u="none" strike="noStrike" baseline="0">
              <a:solidFill>
                <a:srgbClr val="000000"/>
              </a:solidFill>
              <a:latin typeface="Arial"/>
              <a:cs typeface="Arial"/>
            </a:rPr>
            <a:t>L'IPCN se distingue de l'indice des prix à la consommation harmonisé (IPCH) sur le seul point de la couverture géographique. En vertu des dispositions du règlement susmentionné, l'IPCH est passé au 1.1.2000 à une couverture correspondant au concept de consommation finale totale sur le territoire national, alors que la pondération de l'IPCN continue à reposer sur la dépense de consommation finale effectuée sur le territoire par les seuls ménages résidants. La procédure méthodologique et la technique statistique sont communes aux deux indices, de sorte que tous les écarts dans l'évolution s'expliquent exclusivement à partir des choix différents faits au niveau de la couverture.</a:t>
          </a:r>
        </a:p>
        <a:p>
          <a:pPr algn="l" rtl="0">
            <a:defRPr sz="1000"/>
          </a:pPr>
          <a:r>
            <a:rPr lang="fr-LU" sz="900" b="1" i="0" u="none" strike="noStrike" baseline="0">
              <a:solidFill>
                <a:srgbClr val="000000"/>
              </a:solidFill>
              <a:latin typeface="Arial"/>
              <a:cs typeface="Arial"/>
            </a:rPr>
            <a:t>Base juridique:</a:t>
          </a:r>
          <a:endParaRPr lang="fr-LU" sz="900" b="0" i="0" u="none" strike="noStrike" baseline="0">
            <a:solidFill>
              <a:srgbClr val="000000"/>
            </a:solidFill>
            <a:latin typeface="Arial"/>
            <a:cs typeface="Arial"/>
          </a:endParaRPr>
        </a:p>
        <a:p>
          <a:pPr algn="l" rtl="0">
            <a:defRPr sz="1000"/>
          </a:pPr>
          <a:r>
            <a:rPr lang="fr-LU" sz="900" b="0" i="0" u="none" strike="noStrike" baseline="0">
              <a:solidFill>
                <a:srgbClr val="000000"/>
              </a:solidFill>
              <a:latin typeface="Arial"/>
              <a:cs typeface="Arial"/>
            </a:rPr>
            <a:t>Loi modifiée du 22 juin 1963 fixant le régime des traitements des fonctionnaires de l'Etat / Loi du 27 mai 1975 portant généralisation de l'échelle mobile des salaires et traitements / Règlement grand-ducal du 20 décembre 1999 concernant l'établissement de l'indice des prix à la consommation / Règlements grand-ducaux annuels portant actualisation de la pondération de l'indice des prix à la consommation / Règlement du Conseil (CE) n° 2494/95 relatif aux indices des prix à la consommation harmonisés et règlements de la Commission (CE) pris en son exécution.</a:t>
          </a:r>
        </a:p>
        <a:p>
          <a:pPr algn="l" rtl="0">
            <a:defRPr sz="1000"/>
          </a:pPr>
          <a:endParaRPr lang="fr-LU"/>
        </a:p>
      </xdr:txBody>
    </xdr:sp>
    <xdr:clientData/>
  </xdr:twoCellAnchor>
  <xdr:twoCellAnchor>
    <xdr:from>
      <xdr:col>2</xdr:col>
      <xdr:colOff>0</xdr:colOff>
      <xdr:row>104</xdr:row>
      <xdr:rowOff>39370</xdr:rowOff>
    </xdr:from>
    <xdr:to>
      <xdr:col>2</xdr:col>
      <xdr:colOff>0</xdr:colOff>
      <xdr:row>117</xdr:row>
      <xdr:rowOff>41384</xdr:rowOff>
    </xdr:to>
    <xdr:sp macro="" textlink="">
      <xdr:nvSpPr>
        <xdr:cNvPr id="5" name="Text Box 59">
          <a:extLst>
            <a:ext uri="{FF2B5EF4-FFF2-40B4-BE49-F238E27FC236}">
              <a16:creationId xmlns:a16="http://schemas.microsoft.com/office/drawing/2014/main" id="{4BC151C0-7EED-439A-A7C6-DBA62F21F991}"/>
            </a:ext>
          </a:extLst>
        </xdr:cNvPr>
        <xdr:cNvSpPr txBox="1">
          <a:spLocks noChangeArrowheads="1"/>
        </xdr:cNvSpPr>
      </xdr:nvSpPr>
      <xdr:spPr bwMode="auto">
        <a:xfrm>
          <a:off x="1009650" y="18336895"/>
          <a:ext cx="0" cy="21070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fr-LU" sz="900" b="1" i="0" u="none" strike="noStrike" baseline="0">
              <a:solidFill>
                <a:srgbClr val="000000"/>
              </a:solidFill>
              <a:latin typeface="Arial"/>
              <a:cs typeface="Arial"/>
            </a:rPr>
            <a:t>Note explicative:</a:t>
          </a:r>
        </a:p>
        <a:p>
          <a:pPr algn="l" rtl="0">
            <a:defRPr sz="1000"/>
          </a:pPr>
          <a:r>
            <a:rPr lang="fr-LU" sz="900" b="0" i="0" u="none" strike="noStrike" baseline="0">
              <a:solidFill>
                <a:srgbClr val="000000"/>
              </a:solidFill>
              <a:latin typeface="Arial"/>
              <a:cs typeface="Arial"/>
            </a:rPr>
            <a:t>Pour l'IPCN le Règlement  du Conseil  (CE) n° 1688/98 modifiant le règlement de la Commission (CE) n° 1749/96 en ce qui concerne la couverture géographique et démographique de l'indice des prix à la consommation harmonisé, n'est pas appliqué. Ceci signifie que la pondération de l'IPCN ne tient pas compte des dépenses effectuées par les non-résidants sur le territoire économique du Luxembourg. </a:t>
          </a:r>
        </a:p>
        <a:p>
          <a:pPr algn="l" rtl="0">
            <a:defRPr sz="1000"/>
          </a:pPr>
          <a:r>
            <a:rPr lang="fr-LU" sz="900" b="0" i="0" u="none" strike="noStrike" baseline="0">
              <a:solidFill>
                <a:srgbClr val="000000"/>
              </a:solidFill>
              <a:latin typeface="Arial"/>
              <a:cs typeface="Arial"/>
            </a:rPr>
            <a:t>L'IPCN se distingue de l'indice des prix à la consommation harmonisé (IPCH) sur le seul point de la couverture géographique. En vertu des dispositions du règlement susmentionné, l'IPCH est passé au 1.1.2000 à une couverture correspondant au concept de consommation finale totale sur le territoire national, alors que la pondération de l'IPCN continue à reposer sur la dépense de consommation finale effectuée sur le territoire par les seuls ménages résidants. La procédure méthodologique et la technique statistique sont communes aux deux indices, de sorte que tous les écarts dans l'évolution s'expliquent exclusivement à partir des choix différents faits au niveau de la couverture.</a:t>
          </a:r>
        </a:p>
        <a:p>
          <a:pPr algn="l" rtl="0">
            <a:defRPr sz="1000"/>
          </a:pPr>
          <a:r>
            <a:rPr lang="fr-LU" sz="900" b="1" i="0" u="none" strike="noStrike" baseline="0">
              <a:solidFill>
                <a:srgbClr val="000000"/>
              </a:solidFill>
              <a:latin typeface="Arial"/>
              <a:cs typeface="Arial"/>
            </a:rPr>
            <a:t>Base juridique:</a:t>
          </a:r>
          <a:endParaRPr lang="fr-LU" sz="900" b="0" i="0" u="none" strike="noStrike" baseline="0">
            <a:solidFill>
              <a:srgbClr val="000000"/>
            </a:solidFill>
            <a:latin typeface="Arial"/>
            <a:cs typeface="Arial"/>
          </a:endParaRPr>
        </a:p>
        <a:p>
          <a:pPr algn="l" rtl="0">
            <a:defRPr sz="1000"/>
          </a:pPr>
          <a:r>
            <a:rPr lang="fr-LU" sz="900" b="0" i="0" u="none" strike="noStrike" baseline="0">
              <a:solidFill>
                <a:srgbClr val="000000"/>
              </a:solidFill>
              <a:latin typeface="Arial"/>
              <a:cs typeface="Arial"/>
            </a:rPr>
            <a:t>Loi modifiée du 22 juin 1963 fixant le régime des traitements des fonctionnaires de l'Etat / Loi du 27 mai 1975 portant généralisation de l'échelle mobile des salaires et traitements / Règlement grand-ducal du 20 décembre 1999 concernant l'établissement de l'indice des prix à la consommation / Règlements grand-ducaux annuels portant actualisation de la pondération de l'indice des prix à la consommation / Règlement du Conseil (CE) n° 2494/95 relatif aux indices des prix à la consommation harmonisés et règlements de la Commission (CE) pris en son exécution.</a:t>
          </a:r>
        </a:p>
        <a:p>
          <a:pPr algn="l" rtl="0">
            <a:defRPr sz="1000"/>
          </a:pPr>
          <a:endParaRPr lang="fr-LU"/>
        </a:p>
      </xdr:txBody>
    </xdr:sp>
    <xdr:clientData/>
  </xdr:twoCellAnchor>
  <xdr:twoCellAnchor>
    <xdr:from>
      <xdr:col>2</xdr:col>
      <xdr:colOff>0</xdr:colOff>
      <xdr:row>104</xdr:row>
      <xdr:rowOff>39370</xdr:rowOff>
    </xdr:from>
    <xdr:to>
      <xdr:col>2</xdr:col>
      <xdr:colOff>0</xdr:colOff>
      <xdr:row>117</xdr:row>
      <xdr:rowOff>41384</xdr:rowOff>
    </xdr:to>
    <xdr:sp macro="" textlink="">
      <xdr:nvSpPr>
        <xdr:cNvPr id="6" name="Text Box 1">
          <a:extLst>
            <a:ext uri="{FF2B5EF4-FFF2-40B4-BE49-F238E27FC236}">
              <a16:creationId xmlns:a16="http://schemas.microsoft.com/office/drawing/2014/main" id="{92EACC56-C3C2-42F5-88F3-4E14B459B34B}"/>
            </a:ext>
          </a:extLst>
        </xdr:cNvPr>
        <xdr:cNvSpPr txBox="1">
          <a:spLocks noChangeArrowheads="1"/>
        </xdr:cNvSpPr>
      </xdr:nvSpPr>
      <xdr:spPr bwMode="auto">
        <a:xfrm>
          <a:off x="1009650" y="18336895"/>
          <a:ext cx="0" cy="21070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fr-LU" sz="900" b="1" i="0" u="none" strike="noStrike" baseline="0">
              <a:solidFill>
                <a:srgbClr val="000000"/>
              </a:solidFill>
              <a:latin typeface="Arial"/>
              <a:cs typeface="Arial"/>
            </a:rPr>
            <a:t>Note explicative:</a:t>
          </a:r>
        </a:p>
        <a:p>
          <a:pPr algn="l" rtl="0">
            <a:defRPr sz="1000"/>
          </a:pPr>
          <a:r>
            <a:rPr lang="fr-LU" sz="900" b="0" i="0" u="none" strike="noStrike" baseline="0">
              <a:solidFill>
                <a:srgbClr val="000000"/>
              </a:solidFill>
              <a:latin typeface="Arial"/>
              <a:cs typeface="Arial"/>
            </a:rPr>
            <a:t>Pour l'IPCN le Règlement  du Conseil  (CE) n° 1688/98 modifiant le règlement de la Commission (CE) n° 1749/96 en ce qui concerne la couverture géographique et démographique de l'indice des prix à la consommation harmonisé, n'est pas appliqué. Ceci signifie que la pondération de l'IPCN ne tient pas compte des dépenses effectuées par les non-résidants sur le territoire économique du Luxembourg. </a:t>
          </a:r>
        </a:p>
        <a:p>
          <a:pPr algn="l" rtl="0">
            <a:defRPr sz="1000"/>
          </a:pPr>
          <a:r>
            <a:rPr lang="fr-LU" sz="900" b="0" i="0" u="none" strike="noStrike" baseline="0">
              <a:solidFill>
                <a:srgbClr val="000000"/>
              </a:solidFill>
              <a:latin typeface="Arial"/>
              <a:cs typeface="Arial"/>
            </a:rPr>
            <a:t>L'IPCN se distingue de l'indice des prix à la consommation harmonisé (IPCH) sur le seul point de la couverture géographique. En vertu des dispositions du règlement susmentionné, l'IPCH est passé au 1.1.2000 à une couverture correspondant au concept de consommation finale totale sur le territoire national, alors que la pondération de l'IPCN continue à reposer sur la dépense de consommation finale effectuée sur le territoire par les seuls ménages résidants. La procédure méthodologique et la technique statistique sont communes aux deux indices, de sorte que tous les écarts dans l'évolution s'expliquent exclusivement à partir des choix différents faits au niveau de la couverture.</a:t>
          </a:r>
        </a:p>
        <a:p>
          <a:pPr algn="l" rtl="0">
            <a:defRPr sz="1000"/>
          </a:pPr>
          <a:r>
            <a:rPr lang="fr-LU" sz="900" b="1" i="0" u="none" strike="noStrike" baseline="0">
              <a:solidFill>
                <a:srgbClr val="000000"/>
              </a:solidFill>
              <a:latin typeface="Arial"/>
              <a:cs typeface="Arial"/>
            </a:rPr>
            <a:t>Base juridique:</a:t>
          </a:r>
          <a:endParaRPr lang="fr-LU" sz="900" b="0" i="0" u="none" strike="noStrike" baseline="0">
            <a:solidFill>
              <a:srgbClr val="000000"/>
            </a:solidFill>
            <a:latin typeface="Arial"/>
            <a:cs typeface="Arial"/>
          </a:endParaRPr>
        </a:p>
        <a:p>
          <a:pPr algn="l" rtl="0">
            <a:defRPr sz="1000"/>
          </a:pPr>
          <a:r>
            <a:rPr lang="fr-LU" sz="900" b="0" i="0" u="none" strike="noStrike" baseline="0">
              <a:solidFill>
                <a:srgbClr val="000000"/>
              </a:solidFill>
              <a:latin typeface="Arial"/>
              <a:cs typeface="Arial"/>
            </a:rPr>
            <a:t>Loi modifiée du 22 juin 1963 fixant le régime des traitements des fonctionnaires de l'Etat / Loi du 27 mai 1975 portant généralisation de l'échelle mobile des salaires et traitements / Règlement grand-ducal du 20 décembre 1999 concernant l'établissement de l'indice des prix à la consommation / Règlements grand-ducaux annuels portant actualisation de la pondération de l'indice des prix à la consommation / Règlement du Conseil (CE) n° 2494/95 relatif aux indices des prix à la consommation harmonisés et règlements de la Commission (CE) pris en son exécution.</a:t>
          </a:r>
        </a:p>
        <a:p>
          <a:pPr algn="l" rtl="0">
            <a:defRPr sz="1000"/>
          </a:pPr>
          <a:endParaRPr lang="fr-LU"/>
        </a:p>
      </xdr:txBody>
    </xdr:sp>
    <xdr:clientData/>
  </xdr:twoCellAnchor>
  <xdr:twoCellAnchor>
    <xdr:from>
      <xdr:col>2</xdr:col>
      <xdr:colOff>0</xdr:colOff>
      <xdr:row>104</xdr:row>
      <xdr:rowOff>39370</xdr:rowOff>
    </xdr:from>
    <xdr:to>
      <xdr:col>2</xdr:col>
      <xdr:colOff>0</xdr:colOff>
      <xdr:row>117</xdr:row>
      <xdr:rowOff>41384</xdr:rowOff>
    </xdr:to>
    <xdr:sp macro="" textlink="">
      <xdr:nvSpPr>
        <xdr:cNvPr id="7" name="Text Box 59">
          <a:extLst>
            <a:ext uri="{FF2B5EF4-FFF2-40B4-BE49-F238E27FC236}">
              <a16:creationId xmlns:a16="http://schemas.microsoft.com/office/drawing/2014/main" id="{C24C8E74-E512-4DAB-AB90-522C1456D741}"/>
            </a:ext>
          </a:extLst>
        </xdr:cNvPr>
        <xdr:cNvSpPr txBox="1">
          <a:spLocks noChangeArrowheads="1"/>
        </xdr:cNvSpPr>
      </xdr:nvSpPr>
      <xdr:spPr bwMode="auto">
        <a:xfrm>
          <a:off x="1009650" y="18336895"/>
          <a:ext cx="0" cy="210703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fr-LU" sz="900" b="1" i="0" u="none" strike="noStrike" baseline="0">
              <a:solidFill>
                <a:srgbClr val="000000"/>
              </a:solidFill>
              <a:latin typeface="Arial"/>
              <a:cs typeface="Arial"/>
            </a:rPr>
            <a:t>Note explicative:</a:t>
          </a:r>
        </a:p>
        <a:p>
          <a:pPr algn="l" rtl="0">
            <a:defRPr sz="1000"/>
          </a:pPr>
          <a:r>
            <a:rPr lang="fr-LU" sz="900" b="0" i="0" u="none" strike="noStrike" baseline="0">
              <a:solidFill>
                <a:srgbClr val="000000"/>
              </a:solidFill>
              <a:latin typeface="Arial"/>
              <a:cs typeface="Arial"/>
            </a:rPr>
            <a:t>Pour l'IPCN le Règlement  du Conseil  (CE) n° 1688/98 modifiant le règlement de la Commission (CE) n° 1749/96 en ce qui concerne la couverture géographique et démographique de l'indice des prix à la consommation harmonisé, n'est pas appliqué. Ceci signifie que la pondération de l'IPCN ne tient pas compte des dépenses effectuées par les non-résidants sur le territoire économique du Luxembourg. </a:t>
          </a:r>
        </a:p>
        <a:p>
          <a:pPr algn="l" rtl="0">
            <a:defRPr sz="1000"/>
          </a:pPr>
          <a:r>
            <a:rPr lang="fr-LU" sz="900" b="0" i="0" u="none" strike="noStrike" baseline="0">
              <a:solidFill>
                <a:srgbClr val="000000"/>
              </a:solidFill>
              <a:latin typeface="Arial"/>
              <a:cs typeface="Arial"/>
            </a:rPr>
            <a:t>L'IPCN se distingue de l'indice des prix à la consommation harmonisé (IPCH) sur le seul point de la couverture géographique. En vertu des dispositions du règlement susmentionné, l'IPCH est passé au 1.1.2000 à une couverture correspondant au concept de consommation finale totale sur le territoire national, alors que la pondération de l'IPCN continue à reposer sur la dépense de consommation finale effectuée sur le territoire par les seuls ménages résidants. La procédure méthodologique et la technique statistique sont communes aux deux indices, de sorte que tous les écarts dans l'évolution s'expliquent exclusivement à partir des choix différents faits au niveau de la couverture.</a:t>
          </a:r>
        </a:p>
        <a:p>
          <a:pPr algn="l" rtl="0">
            <a:defRPr sz="1000"/>
          </a:pPr>
          <a:r>
            <a:rPr lang="fr-LU" sz="900" b="1" i="0" u="none" strike="noStrike" baseline="0">
              <a:solidFill>
                <a:srgbClr val="000000"/>
              </a:solidFill>
              <a:latin typeface="Arial"/>
              <a:cs typeface="Arial"/>
            </a:rPr>
            <a:t>Base juridique:</a:t>
          </a:r>
          <a:endParaRPr lang="fr-LU" sz="900" b="0" i="0" u="none" strike="noStrike" baseline="0">
            <a:solidFill>
              <a:srgbClr val="000000"/>
            </a:solidFill>
            <a:latin typeface="Arial"/>
            <a:cs typeface="Arial"/>
          </a:endParaRPr>
        </a:p>
        <a:p>
          <a:pPr algn="l" rtl="0">
            <a:defRPr sz="1000"/>
          </a:pPr>
          <a:r>
            <a:rPr lang="fr-LU" sz="900" b="0" i="0" u="none" strike="noStrike" baseline="0">
              <a:solidFill>
                <a:srgbClr val="000000"/>
              </a:solidFill>
              <a:latin typeface="Arial"/>
              <a:cs typeface="Arial"/>
            </a:rPr>
            <a:t>Loi modifiée du 22 juin 1963 fixant le régime des traitements des fonctionnaires de l'Etat / Loi du 27 mai 1975 portant généralisation de l'échelle mobile des salaires et traitements / Règlement grand-ducal du 20 décembre 1999 concernant l'établissement de l'indice des prix à la consommation / Règlements grand-ducaux annuels portant actualisation de la pondération de l'indice des prix à la consommation / Règlement du Conseil (CE) n° 2494/95 relatif aux indices des prix à la consommation harmonisés et règlements de la Commission (CE) pris en son exécution.</a:t>
          </a:r>
        </a:p>
        <a:p>
          <a:pPr algn="l" rtl="0">
            <a:defRPr sz="1000"/>
          </a:pPr>
          <a:endParaRPr lang="fr-L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c_1\sys2\CN\C\CRemastered_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persons/person.xml><?xml version="1.0" encoding="utf-8"?>
<personList xmlns="http://schemas.microsoft.com/office/spreadsheetml/2018/threadedcomments" xmlns:x="http://schemas.openxmlformats.org/spreadsheetml/2006/main">
  <person displayName="Julien Zebrowsky" id="{7474AAD9-C91E-4E0A-A666-4B6A9AEA76E6}" userId="S::Julien.Zebrowsky@ml.etat.lu::9ed9624b-4793-4954-bcc5-5bc8460cb2d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C20" totalsRowShown="0" headerRowDxfId="4" dataDxfId="3">
  <autoFilter ref="B4:C20" xr:uid="{00000000-0009-0000-0100-000001000000}"/>
  <tableColumns count="2">
    <tableColumn id="1" xr3:uid="{00000000-0010-0000-0000-000001000000}" name="Date" dataDxfId="2"/>
    <tableColumn id="2" xr3:uid="{00000000-0010-0000-0000-000002000000}" name="Indice" dataDxfId="1"/>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2" dT="2024-10-02T14:38:46.60" personId="{7474AAD9-C91E-4E0A-A666-4B6A9AEA76E6}" id="{FBEC846E-0943-4DD7-B564-234EA662487B}">
    <text>Si Revenu moyen N-1 utilisé -&gt; RND comparé avec l'indice moyen N-1
Si Dernier revenu connu utilisé -&gt; RND comparé avec le dernier indice disponible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7" Type="http://schemas.microsoft.com/office/2017/10/relationships/threadedComment" Target="../threadedComments/threadedComment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58"/>
  <sheetViews>
    <sheetView showGridLines="0" tabSelected="1" zoomScale="110" zoomScaleNormal="110" workbookViewId="0">
      <selection activeCell="C16" sqref="C16"/>
    </sheetView>
  </sheetViews>
  <sheetFormatPr defaultColWidth="8.85546875" defaultRowHeight="15.75" outlineLevelCol="1" x14ac:dyDescent="0.25"/>
  <cols>
    <col min="1" max="1" width="3.85546875" style="147" customWidth="1"/>
    <col min="2" max="2" width="3.7109375" style="147" customWidth="1"/>
    <col min="3" max="3" width="61" style="147" bestFit="1" customWidth="1"/>
    <col min="4" max="4" width="16.140625" style="147" customWidth="1"/>
    <col min="5" max="5" width="23" style="147" customWidth="1"/>
    <col min="6" max="6" width="16.140625" style="147" customWidth="1"/>
    <col min="7" max="7" width="29.28515625" style="147" customWidth="1"/>
    <col min="8" max="8" width="9.7109375" style="147" bestFit="1" customWidth="1"/>
    <col min="9" max="9" width="9.5703125" style="147" bestFit="1" customWidth="1"/>
    <col min="10" max="27" width="13.42578125" style="147" customWidth="1" outlineLevel="1"/>
    <col min="28" max="28" width="9.140625" style="147" customWidth="1" outlineLevel="1"/>
    <col min="29" max="16384" width="8.85546875" style="147"/>
  </cols>
  <sheetData>
    <row r="1" spans="2:11" x14ac:dyDescent="0.25">
      <c r="B1" s="147" t="s">
        <v>329</v>
      </c>
    </row>
    <row r="2" spans="2:11" x14ac:dyDescent="0.25">
      <c r="B2" s="145"/>
      <c r="C2" s="146"/>
      <c r="D2" s="296" t="s">
        <v>328</v>
      </c>
      <c r="E2" s="296"/>
      <c r="F2" s="297"/>
      <c r="G2" s="171"/>
      <c r="H2" s="171"/>
      <c r="I2" s="171"/>
      <c r="J2" s="171"/>
      <c r="K2" s="171"/>
    </row>
    <row r="3" spans="2:11" ht="15.75" customHeight="1" x14ac:dyDescent="0.25">
      <c r="B3" s="148"/>
      <c r="C3" s="149"/>
      <c r="D3" s="298"/>
      <c r="E3" s="298"/>
      <c r="F3" s="299"/>
      <c r="G3" s="171"/>
      <c r="H3" s="171"/>
      <c r="I3" s="171"/>
      <c r="J3" s="171"/>
      <c r="K3" s="171"/>
    </row>
    <row r="4" spans="2:11" x14ac:dyDescent="0.25">
      <c r="B4" s="148"/>
      <c r="C4" s="149"/>
      <c r="D4" s="298"/>
      <c r="E4" s="298"/>
      <c r="F4" s="299"/>
      <c r="G4" s="171"/>
      <c r="H4" s="171"/>
      <c r="I4" s="171"/>
      <c r="J4" s="171"/>
      <c r="K4" s="171"/>
    </row>
    <row r="5" spans="2:11" ht="36.75" customHeight="1" x14ac:dyDescent="0.25">
      <c r="B5" s="150"/>
      <c r="C5" s="151"/>
      <c r="D5" s="300"/>
      <c r="E5" s="300"/>
      <c r="F5" s="301"/>
      <c r="G5" s="171"/>
      <c r="H5" s="171"/>
      <c r="I5" s="171"/>
      <c r="J5" s="171"/>
      <c r="K5" s="171"/>
    </row>
    <row r="6" spans="2:11" ht="39" customHeight="1" x14ac:dyDescent="0.25">
      <c r="B6" s="311" t="s">
        <v>254</v>
      </c>
      <c r="C6" s="311"/>
      <c r="D6" s="311"/>
      <c r="E6" s="311"/>
      <c r="F6" s="311"/>
      <c r="G6" s="171"/>
      <c r="H6" s="171"/>
      <c r="I6" s="171"/>
      <c r="J6" s="171"/>
      <c r="K6" s="171"/>
    </row>
    <row r="7" spans="2:11" x14ac:dyDescent="0.25">
      <c r="G7" s="171"/>
      <c r="H7" s="171"/>
      <c r="I7" s="171"/>
      <c r="J7" s="171"/>
      <c r="K7" s="171"/>
    </row>
    <row r="8" spans="2:11" x14ac:dyDescent="0.25">
      <c r="B8" s="302" t="s">
        <v>90</v>
      </c>
      <c r="C8" s="303"/>
      <c r="D8" s="303"/>
      <c r="E8" s="303"/>
      <c r="F8" s="304"/>
      <c r="G8" s="171"/>
      <c r="H8" s="171"/>
      <c r="I8" s="171"/>
      <c r="J8" s="171"/>
      <c r="K8" s="171"/>
    </row>
    <row r="9" spans="2:11" x14ac:dyDescent="0.25">
      <c r="G9" s="171"/>
      <c r="H9" s="171"/>
      <c r="I9" s="171"/>
      <c r="J9" s="171"/>
      <c r="K9" s="171"/>
    </row>
    <row r="10" spans="2:11" x14ac:dyDescent="0.25">
      <c r="C10" s="147" t="s">
        <v>287</v>
      </c>
      <c r="D10" s="315" t="s">
        <v>288</v>
      </c>
      <c r="E10" s="315"/>
      <c r="F10" s="315"/>
      <c r="G10" s="171"/>
      <c r="H10" s="171"/>
      <c r="I10" s="171"/>
      <c r="J10" s="171"/>
      <c r="K10" s="171"/>
    </row>
    <row r="11" spans="2:11" x14ac:dyDescent="0.25">
      <c r="G11" s="171"/>
      <c r="H11" s="171"/>
      <c r="I11" s="171"/>
      <c r="J11" s="171"/>
      <c r="K11" s="171"/>
    </row>
    <row r="12" spans="2:11" x14ac:dyDescent="0.25">
      <c r="C12" s="152" t="s">
        <v>59</v>
      </c>
      <c r="D12" s="152"/>
      <c r="E12" s="202">
        <v>1</v>
      </c>
      <c r="G12" s="171"/>
      <c r="H12" s="171"/>
      <c r="I12" s="171"/>
      <c r="J12" s="171"/>
      <c r="K12" s="171"/>
    </row>
    <row r="13" spans="2:11" x14ac:dyDescent="0.25">
      <c r="C13" s="152" t="s">
        <v>60</v>
      </c>
      <c r="D13" s="152"/>
      <c r="E13" s="153">
        <f>+SUM(E15:E16)</f>
        <v>0</v>
      </c>
      <c r="G13" s="171"/>
      <c r="H13" s="171"/>
      <c r="I13" s="171"/>
      <c r="J13" s="171"/>
      <c r="K13" s="171"/>
    </row>
    <row r="14" spans="2:11" x14ac:dyDescent="0.25">
      <c r="B14" s="51"/>
      <c r="C14" s="154" t="s">
        <v>61</v>
      </c>
      <c r="D14" s="154"/>
      <c r="E14" s="152"/>
      <c r="G14" s="171"/>
      <c r="H14" s="171"/>
      <c r="I14" s="171"/>
      <c r="J14" s="171"/>
      <c r="K14" s="171"/>
    </row>
    <row r="15" spans="2:11" x14ac:dyDescent="0.25">
      <c r="C15" s="155" t="s">
        <v>94</v>
      </c>
      <c r="D15" s="155"/>
      <c r="E15" s="202">
        <v>0</v>
      </c>
      <c r="F15" s="147" t="s">
        <v>255</v>
      </c>
      <c r="G15" s="171"/>
      <c r="H15" s="171"/>
      <c r="I15" s="171"/>
      <c r="J15" s="171"/>
      <c r="K15" s="171"/>
    </row>
    <row r="16" spans="2:11" x14ac:dyDescent="0.25">
      <c r="C16" s="155" t="s">
        <v>95</v>
      </c>
      <c r="D16" s="155"/>
      <c r="E16" s="202">
        <v>0</v>
      </c>
      <c r="F16" s="147" t="s">
        <v>255</v>
      </c>
      <c r="G16" s="171"/>
      <c r="H16" s="171"/>
      <c r="I16" s="171"/>
      <c r="J16" s="171"/>
      <c r="K16" s="171"/>
    </row>
    <row r="17" spans="2:11" x14ac:dyDescent="0.25">
      <c r="C17" s="155"/>
      <c r="D17" s="155"/>
      <c r="E17" s="156" t="str">
        <f>CONCATENATE(E12+E15,0,E16)</f>
        <v>100</v>
      </c>
      <c r="G17" s="171"/>
      <c r="H17" s="171"/>
      <c r="I17" s="171"/>
      <c r="J17" s="171"/>
      <c r="K17" s="171"/>
    </row>
    <row r="18" spans="2:11" x14ac:dyDescent="0.25">
      <c r="B18" s="312" t="s">
        <v>213</v>
      </c>
      <c r="C18" s="313" t="s">
        <v>214</v>
      </c>
      <c r="D18" s="313"/>
      <c r="E18" s="313"/>
      <c r="F18" s="314"/>
      <c r="G18" s="171"/>
      <c r="H18" s="171"/>
      <c r="I18" s="171"/>
      <c r="J18" s="171"/>
      <c r="K18" s="171"/>
    </row>
    <row r="19" spans="2:11" x14ac:dyDescent="0.25">
      <c r="C19" s="155"/>
      <c r="D19" s="155"/>
      <c r="E19" s="152"/>
      <c r="G19" s="171"/>
      <c r="H19" s="171"/>
      <c r="I19" s="171"/>
      <c r="J19" s="171"/>
      <c r="K19" s="171"/>
    </row>
    <row r="20" spans="2:11" x14ac:dyDescent="0.25">
      <c r="C20" s="147" t="s">
        <v>281</v>
      </c>
      <c r="D20" s="155"/>
      <c r="E20" s="205">
        <f ca="1">+TODAY()</f>
        <v>46044</v>
      </c>
      <c r="G20" s="171"/>
      <c r="H20" s="171"/>
      <c r="I20" s="171"/>
      <c r="J20" s="171"/>
      <c r="K20" s="171"/>
    </row>
    <row r="21" spans="2:11" ht="7.5" customHeight="1" x14ac:dyDescent="0.25">
      <c r="C21" s="155"/>
      <c r="D21" s="155"/>
      <c r="E21" s="152"/>
      <c r="G21" s="171"/>
      <c r="H21" s="171"/>
      <c r="I21" s="171"/>
      <c r="J21" s="171"/>
      <c r="K21" s="171"/>
    </row>
    <row r="22" spans="2:11" x14ac:dyDescent="0.25">
      <c r="C22" s="147" t="s">
        <v>322</v>
      </c>
      <c r="D22"/>
      <c r="E22" s="202" t="s">
        <v>321</v>
      </c>
      <c r="G22" s="171"/>
      <c r="H22" s="171"/>
      <c r="I22" s="171"/>
      <c r="J22" s="171"/>
      <c r="K22" s="171"/>
    </row>
    <row r="23" spans="2:11" ht="7.5" customHeight="1" x14ac:dyDescent="0.25">
      <c r="C23" s="155"/>
      <c r="D23" s="155"/>
      <c r="E23" s="152"/>
      <c r="G23" s="171"/>
      <c r="H23" s="171"/>
      <c r="I23" s="171"/>
      <c r="J23" s="171"/>
      <c r="K23" s="171"/>
    </row>
    <row r="24" spans="2:11" x14ac:dyDescent="0.25">
      <c r="C24" s="147" t="s">
        <v>91</v>
      </c>
      <c r="E24" s="206">
        <v>0</v>
      </c>
      <c r="F24" s="171"/>
      <c r="G24" s="171"/>
      <c r="H24" s="171"/>
      <c r="I24" s="171"/>
      <c r="J24" s="171"/>
      <c r="K24" s="171"/>
    </row>
    <row r="25" spans="2:11" x14ac:dyDescent="0.25">
      <c r="E25" s="171"/>
      <c r="F25" s="171"/>
      <c r="G25" s="171"/>
      <c r="H25" s="171"/>
      <c r="I25" s="171"/>
      <c r="J25" s="171"/>
      <c r="K25" s="171"/>
    </row>
    <row r="26" spans="2:11" x14ac:dyDescent="0.25">
      <c r="B26" s="305" t="s">
        <v>214</v>
      </c>
      <c r="C26" s="306" t="s">
        <v>214</v>
      </c>
      <c r="D26" s="306"/>
      <c r="E26" s="306"/>
      <c r="F26" s="307"/>
      <c r="G26" s="171"/>
      <c r="H26" s="171"/>
      <c r="I26" s="171"/>
      <c r="J26" s="171"/>
      <c r="K26" s="171"/>
    </row>
    <row r="27" spans="2:11" x14ac:dyDescent="0.25">
      <c r="G27" s="171"/>
      <c r="H27" s="171"/>
      <c r="I27" s="171"/>
      <c r="J27" s="171"/>
      <c r="K27" s="171"/>
    </row>
    <row r="28" spans="2:11" x14ac:dyDescent="0.25">
      <c r="C28" s="147" t="s">
        <v>251</v>
      </c>
      <c r="E28" s="202">
        <v>0</v>
      </c>
      <c r="F28" s="198"/>
      <c r="G28" s="171"/>
      <c r="H28" s="171"/>
      <c r="I28" s="171"/>
      <c r="J28" s="171"/>
      <c r="K28" s="171"/>
    </row>
    <row r="29" spans="2:11" x14ac:dyDescent="0.25">
      <c r="G29" s="171"/>
      <c r="H29" s="171"/>
      <c r="I29" s="171"/>
      <c r="J29" s="171"/>
      <c r="K29" s="171"/>
    </row>
    <row r="30" spans="2:11" x14ac:dyDescent="0.25">
      <c r="C30" s="147" t="s">
        <v>215</v>
      </c>
      <c r="E30" s="203" t="s">
        <v>219</v>
      </c>
      <c r="F30" s="147" t="s">
        <v>258</v>
      </c>
      <c r="G30" s="171"/>
      <c r="H30" s="171"/>
      <c r="I30" s="171"/>
      <c r="J30" s="171"/>
      <c r="K30" s="171"/>
    </row>
    <row r="31" spans="2:11" x14ac:dyDescent="0.25">
      <c r="G31" s="171"/>
      <c r="H31" s="171"/>
      <c r="I31" s="171"/>
      <c r="J31" s="171"/>
      <c r="K31" s="171"/>
    </row>
    <row r="32" spans="2:11" x14ac:dyDescent="0.25">
      <c r="C32" s="147" t="s">
        <v>265</v>
      </c>
      <c r="E32" s="203" t="s">
        <v>219</v>
      </c>
      <c r="F32" s="180" t="s">
        <v>257</v>
      </c>
      <c r="G32" s="171"/>
      <c r="H32" s="171"/>
      <c r="I32" s="171"/>
      <c r="J32" s="171"/>
      <c r="K32" s="171"/>
    </row>
    <row r="33" spans="2:11" x14ac:dyDescent="0.25">
      <c r="C33" s="147" t="s">
        <v>263</v>
      </c>
      <c r="E33" s="203" t="s">
        <v>219</v>
      </c>
      <c r="F33" s="180" t="s">
        <v>257</v>
      </c>
      <c r="G33" s="171"/>
      <c r="H33" s="171"/>
      <c r="I33" s="171"/>
      <c r="J33" s="171"/>
      <c r="K33" s="171"/>
    </row>
    <row r="34" spans="2:11" x14ac:dyDescent="0.25">
      <c r="E34" s="170"/>
      <c r="G34" s="211"/>
      <c r="H34" s="171"/>
      <c r="I34" s="171"/>
      <c r="J34" s="171"/>
      <c r="K34" s="171"/>
    </row>
    <row r="35" spans="2:11" x14ac:dyDescent="0.25">
      <c r="C35" s="147" t="s">
        <v>220</v>
      </c>
      <c r="E35" s="204">
        <v>1</v>
      </c>
      <c r="F35" s="147" t="s">
        <v>256</v>
      </c>
      <c r="G35" s="173"/>
      <c r="H35" s="173"/>
      <c r="I35" s="173"/>
      <c r="J35" s="173"/>
      <c r="K35" s="173"/>
    </row>
    <row r="36" spans="2:11" x14ac:dyDescent="0.25">
      <c r="C36" s="147" t="s">
        <v>221</v>
      </c>
      <c r="E36" s="203" t="s">
        <v>226</v>
      </c>
      <c r="F36" s="147" t="s">
        <v>256</v>
      </c>
      <c r="G36" s="211"/>
      <c r="H36" s="211"/>
      <c r="I36" s="211"/>
      <c r="J36" s="211"/>
      <c r="K36" s="173"/>
    </row>
    <row r="37" spans="2:11" x14ac:dyDescent="0.25">
      <c r="G37" s="157"/>
      <c r="H37" s="158">
        <f>+D41</f>
        <v>167.75</v>
      </c>
      <c r="I37" s="158">
        <f>+E41</f>
        <v>457.08333333333331</v>
      </c>
      <c r="J37" s="158">
        <f>+F41</f>
        <v>533.08333333333337</v>
      </c>
      <c r="K37" s="172">
        <f>+J37*1.2</f>
        <v>639.70000000000005</v>
      </c>
    </row>
    <row r="38" spans="2:11" x14ac:dyDescent="0.25">
      <c r="B38" s="308" t="s">
        <v>235</v>
      </c>
      <c r="C38" s="309" t="s">
        <v>234</v>
      </c>
      <c r="D38" s="309"/>
      <c r="E38" s="309"/>
      <c r="F38" s="310"/>
      <c r="G38" s="157" t="s">
        <v>92</v>
      </c>
      <c r="H38" s="158">
        <f>10%*H37</f>
        <v>16.775000000000002</v>
      </c>
      <c r="I38" s="158">
        <f>+I37*35%</f>
        <v>159.97916666666666</v>
      </c>
      <c r="J38" s="158">
        <f>+J37*35%</f>
        <v>186.57916666666668</v>
      </c>
      <c r="K38" s="172">
        <f>+J38</f>
        <v>186.57916666666668</v>
      </c>
    </row>
    <row r="39" spans="2:11" x14ac:dyDescent="0.25">
      <c r="G39" s="211"/>
      <c r="H39" s="211"/>
      <c r="I39" s="211"/>
      <c r="J39" s="211"/>
      <c r="K39" s="171"/>
    </row>
    <row r="40" spans="2:11" ht="31.5" x14ac:dyDescent="0.25">
      <c r="D40" s="159" t="s">
        <v>75</v>
      </c>
      <c r="E40" s="159" t="s">
        <v>76</v>
      </c>
      <c r="F40" s="159" t="s">
        <v>77</v>
      </c>
    </row>
    <row r="41" spans="2:11" x14ac:dyDescent="0.25">
      <c r="C41" s="147" t="s">
        <v>282</v>
      </c>
      <c r="D41" s="207">
        <f>+IFERROR(IF(SUMIF('Barême Loi'!F:F,E17,'Barême Loi'!C:C)=0,SUMIF('Barême Loi'!F:F,CONCATENATE(MIN(E12+E15,2),0,MIN(E16,3)),'Barême Loi'!C:C),SUMIF('Barême Loi'!F:F,E17,'Barême Loi'!C:C))+MAX(0,(E12+E15-2)*'Barême Loi'!C19)+IF(AND(E12=1,E16&gt;3),(E16-3)*'Barême Loi'!$C$13,IF(AND(E12&gt;1,E16&gt;3),(E16-3)*'Barême Loi'!$C$18,0)),"N/A")</f>
        <v>167.75</v>
      </c>
      <c r="E41" s="207">
        <f>+IFERROR(IF(SUMIF('Barême Loi'!F:F,E17,'Barême Loi'!D:D)=0,SUMIF('Barême Loi'!F:F,CONCATENATE(MIN(E12+E15,2),0,MIN(E16,3)),'Barême Loi'!D:D),SUMIF('Barême Loi'!F:F,E17,'Barême Loi'!D:D))+MAX(0,(E12+E15-2)*'Barême Loi'!D19)+IF(AND(E12=1,E16&gt;3),(E16-3)*'Barême Loi'!$D$13,IF(AND(E12&gt;1,E16&gt;3),(E16-3)*'Barême Loi'!$D$18,0)),"N/A")</f>
        <v>457.08333333333331</v>
      </c>
      <c r="F41" s="207">
        <f>+IFERROR(IF(SUMIF('Barême Loi'!F:F,E17,'Barême Loi'!E:E)=0,SUMIF('Barême Loi'!F:F,CONCATENATE(MIN(E12+E15,2),0,MIN(E16,3)),'Barême Loi'!E:E),SUMIF('Barême Loi'!F:F,E17,'Barême Loi'!E:E))+MAX(0,(E12+E15-2)*'Barême Loi'!E19)+IF(AND(E12=1,E16&gt;3),(E16-3)*'Barême Loi'!$E$13,IF(AND(E12&gt;1,E16&gt;3),(E16-3)*'Barême Loi'!$E$18,0)),"N/A")</f>
        <v>533.08333333333337</v>
      </c>
      <c r="G41" s="160"/>
    </row>
    <row r="42" spans="2:11" x14ac:dyDescent="0.25">
      <c r="D42" s="224"/>
      <c r="E42" s="225"/>
      <c r="F42" s="224"/>
      <c r="G42" s="160"/>
    </row>
    <row r="43" spans="2:11" x14ac:dyDescent="0.25">
      <c r="C43" s="147" t="s">
        <v>283</v>
      </c>
      <c r="D43" s="224"/>
      <c r="E43" s="207">
        <f>+E24/'Barême Loi'!I4*100</f>
        <v>0</v>
      </c>
      <c r="F43" s="224"/>
      <c r="G43" s="160"/>
    </row>
    <row r="44" spans="2:11" x14ac:dyDescent="0.25">
      <c r="E44" s="192"/>
      <c r="G44" s="160"/>
    </row>
    <row r="45" spans="2:11" x14ac:dyDescent="0.25">
      <c r="C45" s="147" t="s">
        <v>212</v>
      </c>
      <c r="E45" s="193">
        <f>MIN(35%,MAX(10%,10%+25%*(E43-D41)/(E41-D41)))</f>
        <v>0.1</v>
      </c>
      <c r="F45" s="194"/>
      <c r="G45" s="160"/>
    </row>
    <row r="47" spans="2:11" x14ac:dyDescent="0.25">
      <c r="C47" s="147" t="s">
        <v>285</v>
      </c>
      <c r="E47" s="199">
        <f>+MIN(E45*E43,35%*F41)</f>
        <v>0</v>
      </c>
    </row>
    <row r="48" spans="2:11" x14ac:dyDescent="0.25">
      <c r="E48" s="200"/>
    </row>
    <row r="49" spans="3:6" s="161" customFormat="1" ht="16.5" customHeight="1" x14ac:dyDescent="0.25">
      <c r="C49" s="162" t="s">
        <v>284</v>
      </c>
      <c r="D49" s="197">
        <f>Settings!C11</f>
        <v>968.04</v>
      </c>
      <c r="E49" s="201">
        <f>+E47/100*D49</f>
        <v>0</v>
      </c>
      <c r="F49" s="163"/>
    </row>
    <row r="51" spans="3:6" x14ac:dyDescent="0.25">
      <c r="C51" s="147" t="s">
        <v>264</v>
      </c>
      <c r="E51" s="207">
        <f>IF(E32="Non",-2.5%*E49,0)+IF(E33="Non",-2.5%*E49,0)</f>
        <v>0</v>
      </c>
      <c r="F51" s="147" t="s">
        <v>257</v>
      </c>
    </row>
    <row r="52" spans="3:6" x14ac:dyDescent="0.25">
      <c r="C52" s="147" t="s">
        <v>232</v>
      </c>
      <c r="E52" s="199">
        <f>+IF(E30=Settings!E50,10%*E49,0)</f>
        <v>0</v>
      </c>
      <c r="F52" s="147" t="s">
        <v>258</v>
      </c>
    </row>
    <row r="53" spans="3:6" x14ac:dyDescent="0.25">
      <c r="E53" s="200"/>
    </row>
    <row r="54" spans="3:6" x14ac:dyDescent="0.25">
      <c r="C54" s="147" t="s">
        <v>233</v>
      </c>
      <c r="E54" s="207">
        <f>-+IF(AND(YEAR(E35)&lt;1990,OR(E36="E",E36="F",E36="G",E36="H",E36="I")),+IF(E28&lt;='Barême Loi'!F27,'Barême Loi'!D27,IF(E28&lt;='Barême Loi'!F28,'Barême Loi'!D28,IF(E28&lt;='Barême Loi'!F29,'Barême Loi'!D29,IF(E28&lt;='Barême Loi'!F30,'Barême Loi'!D30,IF(E28&lt;='Barême Loi'!F31,'Barême Loi'!D31,IF(E28&lt;='Barême Loi'!F32,'Barême Loi'!D32,'Barême Loi'!D33)))))),0)</f>
        <v>0</v>
      </c>
      <c r="F54" s="147" t="s">
        <v>256</v>
      </c>
    </row>
    <row r="55" spans="3:6" x14ac:dyDescent="0.25">
      <c r="E55" s="200"/>
    </row>
    <row r="56" spans="3:6" x14ac:dyDescent="0.25">
      <c r="C56" s="162" t="s">
        <v>286</v>
      </c>
      <c r="D56" s="197">
        <f>+Settings!I2</f>
        <v>968.04</v>
      </c>
      <c r="E56" s="201">
        <f>+E49+E52+E51+E54</f>
        <v>0</v>
      </c>
    </row>
    <row r="58" spans="3:6" x14ac:dyDescent="0.25">
      <c r="F58" s="164"/>
    </row>
  </sheetData>
  <sheetProtection algorithmName="SHA-512" hashValue="vldeRkI+ugR6LWqh4/y2zEsptc1HBGqZXu4MD08m9Qr8UWq+dYNgOwO1p+dfsIi/Gre8+rz8ZtQD+S2Rp18zoQ==" saltValue="PGhAybr+bxMU5ohSH2JVpA==" spinCount="100000" sheet="1" objects="1" scenarios="1"/>
  <mergeCells count="7">
    <mergeCell ref="D2:F5"/>
    <mergeCell ref="B8:F8"/>
    <mergeCell ref="B26:F26"/>
    <mergeCell ref="B38:F38"/>
    <mergeCell ref="B6:F6"/>
    <mergeCell ref="B18:F18"/>
    <mergeCell ref="D10:F10"/>
  </mergeCells>
  <pageMargins left="0.7" right="0.7" top="0.75" bottom="0.75" header="0.3" footer="0.3"/>
  <pageSetup paperSize="9" scale="74" orientation="portrait" r:id="rId1"/>
  <customProperties>
    <customPr name="_pios_id" r:id="rId2"/>
    <customPr name="EpmWorksheetKeyString_GUID" r:id="rId3"/>
  </customProperties>
  <ignoredErrors>
    <ignoredError sqref="E17" evalError="1"/>
  </ignoredErrors>
  <drawing r:id="rId4"/>
  <legacyDrawing r:id="rId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Settings!#REF!</xm:f>
          </x14:formula1>
          <xm:sqref>E19 E21 E23</xm:sqref>
        </x14:dataValidation>
        <x14:dataValidation type="list" allowBlank="1" showInputMessage="1" showErrorMessage="1" xr:uid="{00000000-0002-0000-0000-000001000000}">
          <x14:formula1>
            <xm:f>Settings!$E$50:$E$51</xm:f>
          </x14:formula1>
          <xm:sqref>E30 E32:E33</xm:sqref>
        </x14:dataValidation>
        <x14:dataValidation type="list" allowBlank="1" showInputMessage="1" showErrorMessage="1" xr:uid="{00000000-0002-0000-0000-000002000000}">
          <x14:formula1>
            <xm:f>Settings!$E$54:$E$62</xm:f>
          </x14:formula1>
          <xm:sqref>E36</xm:sqref>
        </x14:dataValidation>
        <x14:dataValidation type="list" allowBlank="1" showInputMessage="1" showErrorMessage="1" xr:uid="{00000000-0002-0000-0000-000003000000}">
          <x14:formula1>
            <xm:f>Settings!$E$42:$E$47</xm:f>
          </x14:formula1>
          <xm:sqref>E12</xm:sqref>
        </x14:dataValidation>
        <x14:dataValidation type="list" allowBlank="1" showInputMessage="1" showErrorMessage="1" xr:uid="{18139A43-D56B-4245-896C-3076DAC13C19}">
          <x14:formula1>
            <xm:f>Settings!$E$107:$E$108</xm:f>
          </x14:formula1>
          <xm:sqref>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M74"/>
  <sheetViews>
    <sheetView showGridLines="0" zoomScale="115" zoomScaleNormal="115" workbookViewId="0">
      <selection activeCell="C30" sqref="C30"/>
    </sheetView>
  </sheetViews>
  <sheetFormatPr defaultColWidth="10.85546875" defaultRowHeight="12.75" x14ac:dyDescent="0.25"/>
  <cols>
    <col min="1" max="1" width="3.85546875" style="2" customWidth="1"/>
    <col min="2" max="2" width="25.7109375" style="2" customWidth="1"/>
    <col min="3" max="5" width="12.7109375" style="2" customWidth="1"/>
    <col min="6" max="7" width="2.85546875" style="2" customWidth="1"/>
    <col min="8" max="8" width="17.140625" style="2" customWidth="1"/>
    <col min="9" max="9" width="12.7109375" style="2" customWidth="1"/>
    <col min="10" max="10" width="10.7109375" style="2" customWidth="1"/>
    <col min="11" max="16384" width="10.85546875" style="2"/>
  </cols>
  <sheetData>
    <row r="2" spans="1:13" ht="12" customHeight="1" x14ac:dyDescent="0.25">
      <c r="B2" s="105"/>
      <c r="C2" s="106"/>
      <c r="D2" s="317" t="s">
        <v>237</v>
      </c>
      <c r="E2" s="317"/>
      <c r="F2" s="317"/>
      <c r="G2" s="317"/>
      <c r="H2" s="317"/>
      <c r="I2" s="317"/>
      <c r="J2" s="318"/>
    </row>
    <row r="3" spans="1:13" ht="12" customHeight="1" x14ac:dyDescent="0.25">
      <c r="B3" s="107"/>
      <c r="C3" s="4"/>
      <c r="D3" s="319"/>
      <c r="E3" s="319"/>
      <c r="F3" s="319"/>
      <c r="G3" s="319"/>
      <c r="H3" s="319"/>
      <c r="I3" s="319"/>
      <c r="J3" s="320"/>
      <c r="M3" s="137"/>
    </row>
    <row r="4" spans="1:13" ht="12" customHeight="1" x14ac:dyDescent="0.25">
      <c r="B4" s="107"/>
      <c r="C4" s="4"/>
      <c r="D4" s="321" t="s">
        <v>238</v>
      </c>
      <c r="E4" s="321"/>
      <c r="F4" s="321"/>
      <c r="G4" s="321"/>
      <c r="H4" s="321"/>
      <c r="I4" s="321"/>
      <c r="J4" s="322"/>
      <c r="M4" s="15"/>
    </row>
    <row r="5" spans="1:13" ht="12" customHeight="1" x14ac:dyDescent="0.25">
      <c r="B5" s="108"/>
      <c r="C5" s="109"/>
      <c r="D5" s="323"/>
      <c r="E5" s="323"/>
      <c r="F5" s="323"/>
      <c r="G5" s="323"/>
      <c r="H5" s="323"/>
      <c r="I5" s="323"/>
      <c r="J5" s="324"/>
    </row>
    <row r="6" spans="1:13" ht="15" x14ac:dyDescent="0.25">
      <c r="A6" s="37"/>
      <c r="B6" s="165" t="s">
        <v>57</v>
      </c>
      <c r="C6" s="103"/>
      <c r="D6" s="103"/>
      <c r="E6" s="103"/>
      <c r="F6" s="103"/>
      <c r="G6" s="103"/>
      <c r="H6" s="103"/>
      <c r="I6" s="103"/>
      <c r="J6" s="103"/>
    </row>
    <row r="7" spans="1:13" ht="15.75" thickBot="1" x14ac:dyDescent="0.3">
      <c r="A7" s="37"/>
      <c r="B7" s="37"/>
      <c r="C7" s="37"/>
      <c r="D7" s="37"/>
      <c r="E7" s="37"/>
      <c r="F7" s="37"/>
      <c r="G7" s="37"/>
      <c r="H7" s="37"/>
      <c r="I7" s="37"/>
      <c r="J7" s="37"/>
    </row>
    <row r="8" spans="1:13" ht="20.100000000000001" customHeight="1" thickBot="1" x14ac:dyDescent="0.3">
      <c r="A8" s="37"/>
      <c r="B8" s="94" t="s">
        <v>46</v>
      </c>
      <c r="C8" s="95"/>
      <c r="D8" s="95"/>
      <c r="E8" s="96"/>
      <c r="F8" s="37"/>
      <c r="G8" s="41"/>
      <c r="H8" s="38" t="s">
        <v>45</v>
      </c>
      <c r="I8" s="39"/>
      <c r="J8" s="40"/>
    </row>
    <row r="9" spans="1:13" ht="3.95" customHeight="1" thickBot="1" x14ac:dyDescent="0.3">
      <c r="A9" s="37"/>
      <c r="B9" s="42"/>
      <c r="C9" s="37"/>
      <c r="D9" s="37"/>
      <c r="E9" s="37"/>
      <c r="F9" s="37"/>
      <c r="G9" s="41"/>
      <c r="H9" s="37"/>
      <c r="I9" s="37"/>
      <c r="J9" s="37"/>
    </row>
    <row r="10" spans="1:13" ht="15" customHeight="1" thickBot="1" x14ac:dyDescent="0.3">
      <c r="A10" s="37"/>
      <c r="B10" s="37" t="s">
        <v>56</v>
      </c>
      <c r="C10" s="325" t="s">
        <v>3</v>
      </c>
      <c r="D10" s="325"/>
      <c r="E10" s="325"/>
      <c r="F10" s="37"/>
      <c r="G10" s="41"/>
      <c r="H10" s="43" t="s">
        <v>41</v>
      </c>
      <c r="I10" s="44" t="s">
        <v>43</v>
      </c>
      <c r="J10" s="45" t="s">
        <v>42</v>
      </c>
    </row>
    <row r="11" spans="1:13" ht="15" customHeight="1" thickBot="1" x14ac:dyDescent="0.3">
      <c r="A11" s="37"/>
      <c r="B11" s="46" t="s">
        <v>279</v>
      </c>
      <c r="C11" s="33">
        <v>0</v>
      </c>
      <c r="D11" s="47" t="s">
        <v>260</v>
      </c>
      <c r="E11" s="48"/>
      <c r="F11" s="37"/>
      <c r="G11" s="41"/>
      <c r="H11" s="49" t="str">
        <f>B14</f>
        <v>Demandeur A</v>
      </c>
      <c r="I11" s="50">
        <f>E24</f>
        <v>0</v>
      </c>
      <c r="J11" s="86">
        <f>IF(H11=Settings!$G$38,VLOOKUP(ANNEE_PROF_D,Settings!$G$29:$H$33,2,FALSE),Settings!$H$29)</f>
        <v>1</v>
      </c>
    </row>
    <row r="12" spans="1:13" ht="15" customHeight="1" x14ac:dyDescent="0.25">
      <c r="A12" s="37"/>
      <c r="B12" s="51" t="s">
        <v>275</v>
      </c>
      <c r="C12" s="33">
        <v>1</v>
      </c>
      <c r="D12" s="37"/>
      <c r="E12" s="37"/>
      <c r="F12" s="37"/>
      <c r="G12" s="41"/>
      <c r="H12" s="49" t="str">
        <f>B27</f>
        <v>- - -</v>
      </c>
      <c r="I12" s="50">
        <f>E37</f>
        <v>0</v>
      </c>
      <c r="J12" s="86">
        <f>IF(H12=Settings!$G$38,VLOOKUP(ANNEE_PROF_B,Settings!$G$29:$H$33,2,FALSE),Settings!$H$29)</f>
        <v>1</v>
      </c>
      <c r="K12"/>
      <c r="L12" s="36"/>
    </row>
    <row r="13" spans="1:13" ht="15" customHeight="1" thickBot="1" x14ac:dyDescent="0.3">
      <c r="A13" s="37"/>
      <c r="B13" s="37"/>
      <c r="C13" s="37"/>
      <c r="D13" s="37"/>
      <c r="E13" s="37"/>
      <c r="F13" s="37"/>
      <c r="G13" s="41"/>
      <c r="H13" s="49" t="str">
        <f>B40</f>
        <v>- - -</v>
      </c>
      <c r="I13" s="50">
        <f>E50</f>
        <v>0</v>
      </c>
      <c r="J13" s="86">
        <f>IF(H13=Settings!$G$38,VLOOKUP(ANNEE_PROF_C,Settings!$G$29:$H$33,2,FALSE),Settings!$H$29)</f>
        <v>1</v>
      </c>
    </row>
    <row r="14" spans="1:13" ht="15" customHeight="1" thickBot="1" x14ac:dyDescent="0.3">
      <c r="A14" s="37"/>
      <c r="B14" s="326" t="s">
        <v>9</v>
      </c>
      <c r="C14" s="52" t="s">
        <v>10</v>
      </c>
      <c r="D14" s="53"/>
      <c r="E14" s="54" t="s">
        <v>28</v>
      </c>
      <c r="F14" s="37"/>
      <c r="G14" s="41"/>
      <c r="H14" s="55" t="str">
        <f>B53</f>
        <v>- - -</v>
      </c>
      <c r="I14" s="56">
        <f>E63</f>
        <v>0</v>
      </c>
      <c r="J14" s="87">
        <f>IF(H14=Settings!$G$38,VLOOKUP(ANNEE_PROF_D,Settings!$G$29:$H$33,2,FALSE),Settings!$H$29)</f>
        <v>1</v>
      </c>
      <c r="L14" s="36"/>
    </row>
    <row r="15" spans="1:13" ht="15" customHeight="1" x14ac:dyDescent="0.25">
      <c r="A15" s="37"/>
      <c r="B15" s="327"/>
      <c r="C15" s="57" t="s">
        <v>11</v>
      </c>
      <c r="D15" s="58" t="s">
        <v>12</v>
      </c>
      <c r="E15" s="59" t="s">
        <v>32</v>
      </c>
      <c r="F15" s="37"/>
      <c r="G15" s="41"/>
      <c r="H15" s="37"/>
      <c r="I15" s="37"/>
      <c r="J15" s="37"/>
    </row>
    <row r="16" spans="1:13" ht="15" customHeight="1" x14ac:dyDescent="0.25">
      <c r="A16" s="37"/>
      <c r="B16" s="88" t="s">
        <v>29</v>
      </c>
      <c r="C16" s="60"/>
      <c r="D16" s="61"/>
      <c r="E16" s="62"/>
      <c r="F16" s="37"/>
      <c r="G16" s="41"/>
      <c r="H16" s="328" t="s">
        <v>58</v>
      </c>
      <c r="I16" s="329"/>
      <c r="J16" s="329"/>
    </row>
    <row r="17" spans="1:12" ht="15" customHeight="1" x14ac:dyDescent="0.25">
      <c r="A17" s="37"/>
      <c r="B17" s="63" t="s">
        <v>17</v>
      </c>
      <c r="C17" s="64"/>
      <c r="D17" s="65"/>
      <c r="E17" s="66">
        <f>IF(AND(C17&gt;0,D17&gt;0),"ERREUR",IF(C17&gt;0,C17*12,IF(D17&gt;0,D17,0)))</f>
        <v>0</v>
      </c>
      <c r="F17" s="37"/>
      <c r="G17" s="41"/>
      <c r="H17" s="329"/>
      <c r="I17" s="329"/>
      <c r="J17" s="329"/>
    </row>
    <row r="18" spans="1:12" ht="15" customHeight="1" x14ac:dyDescent="0.25">
      <c r="A18" s="37"/>
      <c r="B18" s="67" t="s">
        <v>26</v>
      </c>
      <c r="C18" s="68"/>
      <c r="D18" s="69"/>
      <c r="E18" s="66">
        <f t="shared" ref="E18:E19" si="0">IF(AND(C18&gt;0,D18&gt;0),"ERREUR",IF(C18&gt;0,C18*12,IF(D18&gt;0,D18,0)))</f>
        <v>0</v>
      </c>
      <c r="F18" s="37"/>
      <c r="G18" s="41"/>
      <c r="H18" s="316" t="s">
        <v>236</v>
      </c>
      <c r="I18" s="316"/>
      <c r="J18" s="316"/>
      <c r="L18" s="89"/>
    </row>
    <row r="19" spans="1:12" ht="15" customHeight="1" x14ac:dyDescent="0.25">
      <c r="A19" s="37"/>
      <c r="B19" s="70" t="s">
        <v>26</v>
      </c>
      <c r="C19" s="71"/>
      <c r="D19" s="72"/>
      <c r="E19" s="66">
        <f t="shared" si="0"/>
        <v>0</v>
      </c>
      <c r="F19" s="37"/>
      <c r="G19" s="41"/>
      <c r="H19" s="316"/>
      <c r="I19" s="316"/>
      <c r="J19" s="316"/>
    </row>
    <row r="20" spans="1:12" ht="15" customHeight="1" x14ac:dyDescent="0.25">
      <c r="A20" s="37"/>
      <c r="B20" s="88" t="s">
        <v>54</v>
      </c>
      <c r="C20" s="60"/>
      <c r="D20" s="61"/>
      <c r="E20" s="62"/>
      <c r="F20" s="37"/>
      <c r="G20" s="41"/>
      <c r="H20" s="316"/>
      <c r="I20" s="316"/>
      <c r="J20" s="316"/>
    </row>
    <row r="21" spans="1:12" ht="15" customHeight="1" x14ac:dyDescent="0.25">
      <c r="A21" s="37"/>
      <c r="B21" s="73" t="s">
        <v>51</v>
      </c>
      <c r="C21" s="64"/>
      <c r="D21" s="65"/>
      <c r="E21" s="66">
        <f>IF(AND(C21&gt;0,D21&gt;0),"ERREUR",IF(C21&gt;0,-C21*12,IF(D21&gt;0,-D21,0)))</f>
        <v>0</v>
      </c>
      <c r="F21" s="37"/>
      <c r="G21" s="41"/>
      <c r="H21" s="316"/>
      <c r="I21" s="316"/>
      <c r="J21" s="316"/>
    </row>
    <row r="22" spans="1:12" ht="15" customHeight="1" thickBot="1" x14ac:dyDescent="0.3">
      <c r="A22" s="37"/>
      <c r="B22" s="74" t="s">
        <v>50</v>
      </c>
      <c r="C22" s="68"/>
      <c r="D22" s="69"/>
      <c r="E22" s="66">
        <f>IF(AND(C22&gt;0,D22&gt;0),"ERREUR",IF(C22&gt;0,-C22*12,IF(D22&gt;0,-D22,0)))</f>
        <v>0</v>
      </c>
      <c r="F22" s="37"/>
      <c r="G22" s="41"/>
      <c r="H22"/>
      <c r="I22"/>
      <c r="J22"/>
    </row>
    <row r="23" spans="1:12" ht="15" customHeight="1" x14ac:dyDescent="0.25">
      <c r="A23" s="37"/>
      <c r="B23" s="84"/>
      <c r="C23" s="101" t="s">
        <v>30</v>
      </c>
      <c r="D23" s="97"/>
      <c r="E23" s="98">
        <f>SUM(E17:E19,E21:E22)</f>
        <v>0</v>
      </c>
      <c r="F23" s="37"/>
      <c r="G23" s="41"/>
      <c r="H23" s="75" t="s">
        <v>267</v>
      </c>
      <c r="I23" s="76"/>
      <c r="J23" s="77"/>
    </row>
    <row r="24" spans="1:12" ht="15" customHeight="1" thickBot="1" x14ac:dyDescent="0.3">
      <c r="A24" s="37"/>
      <c r="B24" s="85"/>
      <c r="C24" s="102" t="s">
        <v>31</v>
      </c>
      <c r="D24" s="99"/>
      <c r="E24" s="100">
        <f>ROUND(E23/12,2)</f>
        <v>0</v>
      </c>
      <c r="F24" s="37"/>
      <c r="G24" s="41"/>
      <c r="H24" s="78" t="s">
        <v>266</v>
      </c>
      <c r="I24" s="79"/>
      <c r="J24" s="80"/>
    </row>
    <row r="25" spans="1:12" ht="15" customHeight="1" x14ac:dyDescent="0.25">
      <c r="A25" s="37"/>
      <c r="B25" s="37"/>
      <c r="C25" s="37"/>
      <c r="D25" s="37"/>
      <c r="E25" s="37"/>
      <c r="F25" s="37"/>
      <c r="G25" s="41"/>
      <c r="H25" s="333">
        <f>IFERROR(ROUND((I11*J11)+(I12*J12)+(I13*J13)+(I14*J14),2),"ERREUR")</f>
        <v>0</v>
      </c>
      <c r="I25" s="334"/>
      <c r="J25" s="335"/>
    </row>
    <row r="26" spans="1:12" ht="15" customHeight="1" thickBot="1" x14ac:dyDescent="0.3">
      <c r="A26" s="37"/>
      <c r="B26" s="37"/>
      <c r="C26" s="37"/>
      <c r="D26" s="37"/>
      <c r="E26" s="37"/>
      <c r="F26" s="37"/>
      <c r="G26" s="41"/>
      <c r="H26" s="336"/>
      <c r="I26" s="337"/>
      <c r="J26" s="338"/>
    </row>
    <row r="27" spans="1:12" ht="15" customHeight="1" thickBot="1" x14ac:dyDescent="0.3">
      <c r="A27" s="37"/>
      <c r="B27" s="331" t="s">
        <v>8</v>
      </c>
      <c r="C27" s="52" t="s">
        <v>10</v>
      </c>
      <c r="D27" s="53"/>
      <c r="E27" s="54" t="s">
        <v>28</v>
      </c>
      <c r="F27" s="37"/>
      <c r="G27" s="41"/>
    </row>
    <row r="28" spans="1:12" ht="15" customHeight="1" x14ac:dyDescent="0.25">
      <c r="A28" s="37"/>
      <c r="B28" s="332"/>
      <c r="C28" s="57" t="s">
        <v>11</v>
      </c>
      <c r="D28" s="58" t="s">
        <v>12</v>
      </c>
      <c r="E28" s="59" t="s">
        <v>32</v>
      </c>
      <c r="F28" s="37"/>
      <c r="G28" s="41"/>
      <c r="H28" s="75" t="s">
        <v>268</v>
      </c>
      <c r="I28" s="76"/>
      <c r="J28" s="77"/>
    </row>
    <row r="29" spans="1:12" ht="15" customHeight="1" thickBot="1" x14ac:dyDescent="0.3">
      <c r="A29" s="37"/>
      <c r="B29" s="88" t="s">
        <v>29</v>
      </c>
      <c r="C29" s="60"/>
      <c r="D29" s="61"/>
      <c r="E29" s="62"/>
      <c r="F29" s="37"/>
      <c r="G29" s="41"/>
      <c r="H29" s="345" t="s">
        <v>269</v>
      </c>
      <c r="I29" s="346"/>
      <c r="J29" s="347"/>
    </row>
    <row r="30" spans="1:12" ht="15" customHeight="1" x14ac:dyDescent="0.25">
      <c r="A30" s="37"/>
      <c r="B30" s="63" t="s">
        <v>26</v>
      </c>
      <c r="C30" s="64"/>
      <c r="D30" s="65"/>
      <c r="E30" s="66">
        <f>IF(AND(C30&gt;0,D30&gt;0),"ERREUR",IF(C30&gt;0,C30*12,IF(D30&gt;0,D30,0)))</f>
        <v>0</v>
      </c>
      <c r="F30" s="37"/>
      <c r="G30" s="41"/>
      <c r="H30" s="333">
        <f>+H25-SUMIF(B:B,"Allocations familiales",E:E)/12</f>
        <v>0</v>
      </c>
      <c r="I30" s="334"/>
      <c r="J30" s="335"/>
    </row>
    <row r="31" spans="1:12" ht="15" customHeight="1" thickBot="1" x14ac:dyDescent="0.3">
      <c r="A31" s="37"/>
      <c r="B31" s="67" t="s">
        <v>26</v>
      </c>
      <c r="C31" s="68"/>
      <c r="D31" s="69"/>
      <c r="E31" s="66">
        <f t="shared" ref="E31:E32" si="1">IF(AND(C31&gt;0,D31&gt;0),"ERREUR",IF(C31&gt;0,C31*12,IF(D31&gt;0,D31,0)))</f>
        <v>0</v>
      </c>
      <c r="F31" s="37"/>
      <c r="G31" s="41"/>
      <c r="H31" s="336"/>
      <c r="I31" s="337"/>
      <c r="J31" s="338"/>
      <c r="K31" s="166"/>
    </row>
    <row r="32" spans="1:12" ht="15" customHeight="1" thickBot="1" x14ac:dyDescent="0.3">
      <c r="A32" s="37"/>
      <c r="B32" s="70" t="s">
        <v>26</v>
      </c>
      <c r="C32" s="71"/>
      <c r="D32" s="72"/>
      <c r="E32" s="66">
        <f t="shared" si="1"/>
        <v>0</v>
      </c>
      <c r="F32" s="37"/>
      <c r="G32" s="41"/>
      <c r="K32" s="166"/>
    </row>
    <row r="33" spans="1:11" ht="15" customHeight="1" thickBot="1" x14ac:dyDescent="0.3">
      <c r="A33" s="37"/>
      <c r="B33" s="88" t="s">
        <v>54</v>
      </c>
      <c r="C33" s="60"/>
      <c r="D33" s="61"/>
      <c r="E33" s="62"/>
      <c r="F33" s="37"/>
      <c r="G33" s="41"/>
      <c r="H33" s="38" t="s">
        <v>278</v>
      </c>
      <c r="I33" s="39"/>
      <c r="J33" s="40"/>
      <c r="K33" s="166"/>
    </row>
    <row r="34" spans="1:11" ht="15" customHeight="1" x14ac:dyDescent="0.25">
      <c r="A34" s="37"/>
      <c r="B34" s="73" t="s">
        <v>51</v>
      </c>
      <c r="C34" s="64"/>
      <c r="D34" s="65"/>
      <c r="E34" s="66">
        <f>IF(AND(C34&gt;0,D34&gt;0),"ERREUR",IF(C34&gt;0,-C34*12,IF(D34&gt;0,-D34,0)))</f>
        <v>0</v>
      </c>
      <c r="F34" s="37"/>
      <c r="G34" s="41"/>
      <c r="H34" s="91" t="s">
        <v>276</v>
      </c>
      <c r="I34" s="81"/>
      <c r="J34" s="167" t="str">
        <f>+Settings!E26</f>
        <v>1 adulte</v>
      </c>
      <c r="K34" s="166"/>
    </row>
    <row r="35" spans="1:11" ht="15" customHeight="1" thickBot="1" x14ac:dyDescent="0.3">
      <c r="A35" s="37"/>
      <c r="B35" s="74" t="s">
        <v>50</v>
      </c>
      <c r="C35" s="68"/>
      <c r="D35" s="69"/>
      <c r="E35" s="66">
        <f>IF(AND(C35&gt;0,D35&gt;0),"ERREUR",IF(C35&gt;0,-C35*12,IF(D35&gt;0,-D35,0)))</f>
        <v>0</v>
      </c>
      <c r="F35" s="37"/>
      <c r="G35" s="41"/>
      <c r="H35" s="49" t="s">
        <v>277</v>
      </c>
      <c r="I35" s="82"/>
      <c r="J35" s="83">
        <f>+Settings!H24</f>
        <v>3820.53</v>
      </c>
      <c r="K35" s="166"/>
    </row>
    <row r="36" spans="1:11" ht="15" customHeight="1" thickBot="1" x14ac:dyDescent="0.3">
      <c r="A36" s="37"/>
      <c r="B36" s="90" t="s">
        <v>55</v>
      </c>
      <c r="C36" s="101" t="s">
        <v>30</v>
      </c>
      <c r="D36" s="97"/>
      <c r="E36" s="98">
        <f>SUM(E30:E32,E34:E35)</f>
        <v>0</v>
      </c>
      <c r="F36" s="37"/>
      <c r="G36" s="41"/>
      <c r="H36" s="92" t="s">
        <v>40</v>
      </c>
      <c r="I36" s="215"/>
      <c r="J36" s="93">
        <f>+Settings!G5</f>
        <v>968.04</v>
      </c>
      <c r="K36" s="166"/>
    </row>
    <row r="37" spans="1:11" ht="15" customHeight="1" thickBot="1" x14ac:dyDescent="0.3">
      <c r="A37" s="37"/>
      <c r="B37" s="104" t="s">
        <v>52</v>
      </c>
      <c r="C37" s="102" t="s">
        <v>31</v>
      </c>
      <c r="D37" s="99"/>
      <c r="E37" s="100">
        <f>ROUND(E36/12,2)</f>
        <v>0</v>
      </c>
      <c r="F37" s="37"/>
      <c r="G37" s="41"/>
      <c r="K37" s="166"/>
    </row>
    <row r="38" spans="1:11" ht="15" customHeight="1" x14ac:dyDescent="0.25">
      <c r="A38" s="37"/>
      <c r="B38" s="37"/>
      <c r="C38" s="37"/>
      <c r="D38" s="37"/>
      <c r="E38" s="37"/>
      <c r="F38" s="37"/>
      <c r="G38" s="41"/>
      <c r="H38" s="348" t="s">
        <v>44</v>
      </c>
      <c r="I38" s="349"/>
      <c r="J38" s="350"/>
      <c r="K38" s="166"/>
    </row>
    <row r="39" spans="1:11" ht="15" customHeight="1" thickBot="1" x14ac:dyDescent="0.3">
      <c r="A39" s="37"/>
      <c r="B39" s="37"/>
      <c r="C39" s="37"/>
      <c r="D39" s="37"/>
      <c r="E39" s="37"/>
      <c r="F39" s="37"/>
      <c r="G39" s="41"/>
      <c r="H39" s="345"/>
      <c r="I39" s="346"/>
      <c r="J39" s="347"/>
      <c r="K39" s="166"/>
    </row>
    <row r="40" spans="1:11" ht="15" customHeight="1" x14ac:dyDescent="0.25">
      <c r="A40" s="37"/>
      <c r="B40" s="331" t="s">
        <v>8</v>
      </c>
      <c r="C40" s="52" t="s">
        <v>10</v>
      </c>
      <c r="D40" s="53"/>
      <c r="E40" s="54" t="s">
        <v>28</v>
      </c>
      <c r="F40" s="37"/>
      <c r="G40" s="41"/>
      <c r="H40" s="339" t="s">
        <v>280</v>
      </c>
      <c r="I40" s="340"/>
      <c r="J40" s="343" t="str">
        <f>IF(OR(H30=0,J34="/",J35="/"),"/",IF(H30&gt;J35,"NON","OUI"))</f>
        <v>/</v>
      </c>
      <c r="K40" s="166"/>
    </row>
    <row r="41" spans="1:11" ht="15" customHeight="1" thickBot="1" x14ac:dyDescent="0.3">
      <c r="A41" s="37"/>
      <c r="B41" s="332"/>
      <c r="C41" s="57" t="s">
        <v>11</v>
      </c>
      <c r="D41" s="58" t="s">
        <v>12</v>
      </c>
      <c r="E41" s="59" t="s">
        <v>32</v>
      </c>
      <c r="F41" s="37"/>
      <c r="G41" s="41"/>
      <c r="H41" s="341"/>
      <c r="I41" s="342"/>
      <c r="J41" s="344"/>
      <c r="K41" s="166"/>
    </row>
    <row r="42" spans="1:11" ht="15" customHeight="1" x14ac:dyDescent="0.25">
      <c r="A42" s="37"/>
      <c r="B42" s="88" t="s">
        <v>29</v>
      </c>
      <c r="C42" s="60"/>
      <c r="D42" s="61"/>
      <c r="E42" s="62"/>
      <c r="F42" s="37"/>
      <c r="G42" s="41"/>
      <c r="K42" s="166"/>
    </row>
    <row r="43" spans="1:11" ht="15" customHeight="1" x14ac:dyDescent="0.25">
      <c r="A43" s="37"/>
      <c r="B43" s="63" t="s">
        <v>26</v>
      </c>
      <c r="C43" s="64"/>
      <c r="D43" s="65"/>
      <c r="E43" s="66">
        <f>IF(AND(C43&gt;0,D43&gt;0),"ERREUR",IF(C43&gt;0,C43*12,IF(D43&gt;0,D43,0)))</f>
        <v>0</v>
      </c>
      <c r="F43" s="37"/>
      <c r="G43" s="41"/>
      <c r="K43" s="166"/>
    </row>
    <row r="44" spans="1:11" ht="15" customHeight="1" x14ac:dyDescent="0.25">
      <c r="A44" s="37"/>
      <c r="B44" s="67" t="s">
        <v>26</v>
      </c>
      <c r="C44" s="68"/>
      <c r="D44" s="69"/>
      <c r="E44" s="66">
        <f t="shared" ref="E44:E45" si="2">IF(AND(C44&gt;0,D44&gt;0),"ERREUR",IF(C44&gt;0,C44*12,IF(D44&gt;0,D44,0)))</f>
        <v>0</v>
      </c>
      <c r="F44" s="37"/>
      <c r="G44" s="41"/>
      <c r="H44"/>
      <c r="I44"/>
      <c r="J44"/>
    </row>
    <row r="45" spans="1:11" ht="15" customHeight="1" x14ac:dyDescent="0.25">
      <c r="A45" s="37"/>
      <c r="B45" s="70" t="s">
        <v>26</v>
      </c>
      <c r="C45" s="71"/>
      <c r="D45" s="72"/>
      <c r="E45" s="66">
        <f t="shared" si="2"/>
        <v>0</v>
      </c>
      <c r="F45" s="37"/>
      <c r="G45" s="41"/>
      <c r="H45"/>
      <c r="I45"/>
      <c r="J45"/>
    </row>
    <row r="46" spans="1:11" ht="15" customHeight="1" x14ac:dyDescent="0.25">
      <c r="A46" s="37"/>
      <c r="B46" s="88" t="s">
        <v>54</v>
      </c>
      <c r="C46" s="60"/>
      <c r="D46" s="61"/>
      <c r="E46" s="62"/>
      <c r="F46" s="37"/>
      <c r="G46" s="41"/>
      <c r="H46" s="37"/>
      <c r="I46" s="37"/>
      <c r="J46" s="37"/>
    </row>
    <row r="47" spans="1:11" ht="15" customHeight="1" x14ac:dyDescent="0.25">
      <c r="A47" s="37"/>
      <c r="B47" s="73" t="s">
        <v>51</v>
      </c>
      <c r="C47" s="64"/>
      <c r="D47" s="65"/>
      <c r="E47" s="66">
        <f>IF(AND(C47&gt;0,D47&gt;0),"ERREUR",IF(C47&gt;0,-C47*12,IF(D47&gt;0,-D47,0)))</f>
        <v>0</v>
      </c>
      <c r="F47" s="37"/>
      <c r="G47" s="41"/>
      <c r="H47" s="330" t="s">
        <v>260</v>
      </c>
      <c r="I47" s="330"/>
      <c r="J47" s="330"/>
    </row>
    <row r="48" spans="1:11" ht="15" customHeight="1" thickBot="1" x14ac:dyDescent="0.3">
      <c r="A48" s="37"/>
      <c r="B48" s="74" t="s">
        <v>50</v>
      </c>
      <c r="C48" s="68"/>
      <c r="D48" s="69"/>
      <c r="E48" s="66">
        <f>IF(AND(C48&gt;0,D48&gt;0),"ERREUR",IF(C48&gt;0,-C48*12,IF(D48&gt;0,-D48,0)))</f>
        <v>0</v>
      </c>
      <c r="F48" s="37"/>
      <c r="G48" s="41"/>
      <c r="H48" s="330"/>
      <c r="I48" s="330"/>
      <c r="J48" s="330"/>
    </row>
    <row r="49" spans="1:10" ht="15" customHeight="1" x14ac:dyDescent="0.25">
      <c r="A49" s="37"/>
      <c r="B49" s="90" t="s">
        <v>55</v>
      </c>
      <c r="C49" s="101" t="s">
        <v>30</v>
      </c>
      <c r="D49" s="97"/>
      <c r="E49" s="98">
        <f>SUM(E43:E45,E47:E48)</f>
        <v>0</v>
      </c>
      <c r="F49" s="37"/>
      <c r="G49" s="41"/>
      <c r="H49" s="330"/>
      <c r="I49" s="330"/>
      <c r="J49" s="330"/>
    </row>
    <row r="50" spans="1:10" ht="15" customHeight="1" thickBot="1" x14ac:dyDescent="0.3">
      <c r="A50" s="37"/>
      <c r="B50" s="104" t="s">
        <v>52</v>
      </c>
      <c r="C50" s="102" t="s">
        <v>31</v>
      </c>
      <c r="D50" s="99"/>
      <c r="E50" s="100">
        <f>ROUND(E49/12,2)</f>
        <v>0</v>
      </c>
      <c r="F50" s="37"/>
      <c r="G50" s="41"/>
      <c r="H50" s="37"/>
      <c r="I50" s="37"/>
      <c r="J50" s="37"/>
    </row>
    <row r="51" spans="1:10" ht="15" customHeight="1" x14ac:dyDescent="0.25">
      <c r="A51" s="37"/>
      <c r="B51" s="37"/>
      <c r="C51" s="37"/>
      <c r="D51" s="37"/>
      <c r="E51" s="37"/>
      <c r="F51" s="37"/>
      <c r="G51" s="41"/>
      <c r="H51" s="37"/>
      <c r="I51" s="37"/>
      <c r="J51" s="37"/>
    </row>
    <row r="52" spans="1:10" ht="15" customHeight="1" thickBot="1" x14ac:dyDescent="0.3">
      <c r="A52" s="37"/>
      <c r="B52" s="37"/>
      <c r="C52" s="37"/>
      <c r="D52" s="37"/>
      <c r="E52" s="37"/>
      <c r="F52" s="37"/>
      <c r="G52" s="41"/>
      <c r="H52"/>
      <c r="I52" s="37"/>
      <c r="J52" s="37"/>
    </row>
    <row r="53" spans="1:10" ht="15" customHeight="1" x14ac:dyDescent="0.25">
      <c r="A53" s="37"/>
      <c r="B53" s="331" t="s">
        <v>8</v>
      </c>
      <c r="C53" s="52" t="s">
        <v>10</v>
      </c>
      <c r="D53" s="53"/>
      <c r="E53" s="54" t="s">
        <v>28</v>
      </c>
      <c r="F53" s="37"/>
      <c r="G53" s="41"/>
      <c r="H53" s="37"/>
      <c r="I53" s="37"/>
      <c r="J53" s="37"/>
    </row>
    <row r="54" spans="1:10" ht="15" customHeight="1" x14ac:dyDescent="0.25">
      <c r="A54" s="37"/>
      <c r="B54" s="332"/>
      <c r="C54" s="57" t="s">
        <v>11</v>
      </c>
      <c r="D54" s="58" t="s">
        <v>12</v>
      </c>
      <c r="E54" s="59" t="s">
        <v>32</v>
      </c>
      <c r="F54" s="37"/>
      <c r="G54" s="41"/>
      <c r="H54" s="37"/>
      <c r="I54" s="37"/>
      <c r="J54" s="37"/>
    </row>
    <row r="55" spans="1:10" ht="15" customHeight="1" x14ac:dyDescent="0.25">
      <c r="A55" s="37"/>
      <c r="B55" s="88" t="s">
        <v>29</v>
      </c>
      <c r="C55" s="60"/>
      <c r="D55" s="61"/>
      <c r="E55" s="62"/>
      <c r="F55" s="37"/>
      <c r="G55" s="41"/>
      <c r="H55" s="37"/>
      <c r="I55" s="37"/>
      <c r="J55" s="37"/>
    </row>
    <row r="56" spans="1:10" ht="15" customHeight="1" x14ac:dyDescent="0.25">
      <c r="A56" s="37"/>
      <c r="B56" s="63" t="s">
        <v>26</v>
      </c>
      <c r="C56" s="64"/>
      <c r="D56" s="65"/>
      <c r="E56" s="66">
        <f>IF(AND(C56&gt;0,D56&gt;0),"ERREUR",IF(C56&gt;0,C56*12,IF(D56&gt;0,D56,0)))</f>
        <v>0</v>
      </c>
      <c r="F56" s="37"/>
      <c r="G56" s="41"/>
      <c r="H56"/>
      <c r="I56" s="37"/>
      <c r="J56" s="37"/>
    </row>
    <row r="57" spans="1:10" ht="15" customHeight="1" x14ac:dyDescent="0.25">
      <c r="A57" s="37"/>
      <c r="B57" s="67" t="s">
        <v>26</v>
      </c>
      <c r="C57" s="68"/>
      <c r="D57" s="69"/>
      <c r="E57" s="66">
        <f t="shared" ref="E57:E58" si="3">IF(AND(C57&gt;0,D57&gt;0),"ERREUR",IF(C57&gt;0,C57*12,IF(D57&gt;0,D57,0)))</f>
        <v>0</v>
      </c>
      <c r="F57" s="37"/>
      <c r="G57" s="41"/>
      <c r="H57" s="37"/>
      <c r="I57" s="37"/>
      <c r="J57" s="37"/>
    </row>
    <row r="58" spans="1:10" ht="15" customHeight="1" x14ac:dyDescent="0.25">
      <c r="A58" s="37"/>
      <c r="B58" s="70" t="s">
        <v>26</v>
      </c>
      <c r="C58" s="71"/>
      <c r="D58" s="72"/>
      <c r="E58" s="66">
        <f t="shared" si="3"/>
        <v>0</v>
      </c>
      <c r="F58" s="37"/>
      <c r="G58" s="41"/>
      <c r="H58" s="37"/>
      <c r="I58" s="37"/>
      <c r="J58" s="37"/>
    </row>
    <row r="59" spans="1:10" ht="15" customHeight="1" x14ac:dyDescent="0.25">
      <c r="A59" s="37"/>
      <c r="B59" s="88" t="s">
        <v>54</v>
      </c>
      <c r="C59" s="60"/>
      <c r="D59" s="61"/>
      <c r="E59" s="62"/>
      <c r="F59" s="37"/>
      <c r="G59" s="41"/>
      <c r="H59" s="37"/>
      <c r="I59" s="37"/>
      <c r="J59" s="37"/>
    </row>
    <row r="60" spans="1:10" ht="15" customHeight="1" x14ac:dyDescent="0.25">
      <c r="A60" s="37"/>
      <c r="B60" s="73" t="s">
        <v>51</v>
      </c>
      <c r="C60" s="64"/>
      <c r="D60" s="65"/>
      <c r="E60" s="66">
        <f>IF(AND(C60&gt;0,D60&gt;0),"ERREUR",IF(C60&gt;0,-C60*12,IF(D60&gt;0,-D60,0)))</f>
        <v>0</v>
      </c>
      <c r="F60" s="37"/>
      <c r="G60" s="41"/>
      <c r="H60" s="37"/>
      <c r="I60" s="37"/>
      <c r="J60" s="37"/>
    </row>
    <row r="61" spans="1:10" ht="15" customHeight="1" thickBot="1" x14ac:dyDescent="0.3">
      <c r="A61" s="37"/>
      <c r="B61" s="74" t="s">
        <v>50</v>
      </c>
      <c r="C61" s="68"/>
      <c r="D61" s="69"/>
      <c r="E61" s="66">
        <f>IF(AND(C61&gt;0,D61&gt;0),"ERREUR",IF(C61&gt;0,-C61*12,IF(D61&gt;0,-D61,0)))</f>
        <v>0</v>
      </c>
      <c r="F61" s="37"/>
      <c r="G61" s="41"/>
      <c r="H61" s="37"/>
      <c r="I61" s="37"/>
      <c r="J61" s="37"/>
    </row>
    <row r="62" spans="1:10" ht="15" customHeight="1" x14ac:dyDescent="0.25">
      <c r="A62" s="37"/>
      <c r="B62" s="90" t="s">
        <v>55</v>
      </c>
      <c r="C62" s="101" t="s">
        <v>30</v>
      </c>
      <c r="D62" s="97"/>
      <c r="E62" s="98">
        <f>SUM(E56:E58,E60:E61)</f>
        <v>0</v>
      </c>
      <c r="F62" s="37"/>
      <c r="G62" s="41"/>
      <c r="H62" s="37"/>
      <c r="I62" s="37"/>
      <c r="J62" s="37"/>
    </row>
    <row r="63" spans="1:10" ht="15" customHeight="1" thickBot="1" x14ac:dyDescent="0.3">
      <c r="A63" s="37"/>
      <c r="B63" s="104" t="s">
        <v>52</v>
      </c>
      <c r="C63" s="102" t="s">
        <v>31</v>
      </c>
      <c r="D63" s="99"/>
      <c r="E63" s="100">
        <f>ROUND(E62/12,2)</f>
        <v>0</v>
      </c>
      <c r="F63" s="37"/>
      <c r="G63" s="41"/>
      <c r="H63" s="37"/>
      <c r="I63" s="37"/>
      <c r="J63" s="37"/>
    </row>
    <row r="64" spans="1:10" ht="15" x14ac:dyDescent="0.25">
      <c r="A64" s="37"/>
      <c r="B64" s="37"/>
      <c r="C64" s="37"/>
      <c r="D64" s="37"/>
      <c r="E64" s="37"/>
      <c r="F64" s="37"/>
      <c r="G64" s="37"/>
      <c r="H64" s="37"/>
      <c r="I64" s="37"/>
      <c r="J64" s="37"/>
    </row>
    <row r="65" spans="1:10" ht="15" x14ac:dyDescent="0.25">
      <c r="A65" s="37"/>
      <c r="B65" s="37"/>
      <c r="C65" s="37"/>
      <c r="D65" s="37"/>
      <c r="E65" s="37"/>
      <c r="F65" s="37"/>
      <c r="G65" s="37"/>
      <c r="H65" s="37"/>
      <c r="I65" s="37"/>
      <c r="J65" s="37"/>
    </row>
    <row r="66" spans="1:10" ht="15" x14ac:dyDescent="0.25">
      <c r="A66" s="37"/>
      <c r="B66" s="37"/>
      <c r="C66" s="37"/>
      <c r="D66" s="37"/>
      <c r="E66" s="37"/>
      <c r="F66" s="37"/>
      <c r="G66" s="37"/>
      <c r="H66" s="37"/>
      <c r="I66" s="37"/>
      <c r="J66" s="37"/>
    </row>
    <row r="67" spans="1:10" ht="15" x14ac:dyDescent="0.25">
      <c r="A67" s="37"/>
      <c r="B67" s="37"/>
      <c r="C67" s="37"/>
      <c r="D67" s="37"/>
      <c r="E67" s="37"/>
      <c r="F67" s="37"/>
      <c r="G67" s="37"/>
      <c r="H67" s="37"/>
      <c r="I67" s="37"/>
      <c r="J67" s="37"/>
    </row>
    <row r="68" spans="1:10" ht="15" x14ac:dyDescent="0.25">
      <c r="A68" s="37"/>
      <c r="B68" s="37"/>
      <c r="C68" s="37"/>
      <c r="D68" s="37"/>
      <c r="E68" s="37"/>
      <c r="F68" s="37"/>
      <c r="G68" s="37"/>
      <c r="H68" s="37"/>
      <c r="I68" s="37"/>
      <c r="J68" s="37"/>
    </row>
    <row r="69" spans="1:10" ht="15" x14ac:dyDescent="0.25">
      <c r="A69" s="37"/>
      <c r="B69" s="37"/>
      <c r="C69" s="37"/>
      <c r="D69" s="37"/>
      <c r="E69" s="37"/>
      <c r="F69" s="37"/>
      <c r="G69" s="37"/>
      <c r="H69" s="37"/>
      <c r="I69" s="37"/>
      <c r="J69" s="37"/>
    </row>
    <row r="70" spans="1:10" ht="15" x14ac:dyDescent="0.25">
      <c r="A70" s="37"/>
      <c r="B70" s="37"/>
      <c r="C70" s="37"/>
      <c r="D70" s="37"/>
      <c r="E70" s="37"/>
      <c r="F70" s="37"/>
      <c r="G70" s="37"/>
      <c r="H70" s="37"/>
      <c r="I70" s="37"/>
      <c r="J70" s="37"/>
    </row>
    <row r="71" spans="1:10" ht="15" x14ac:dyDescent="0.25">
      <c r="A71" s="37"/>
      <c r="B71" s="37"/>
      <c r="C71" s="37"/>
      <c r="D71" s="37"/>
      <c r="E71" s="37"/>
      <c r="F71" s="37"/>
      <c r="G71" s="37"/>
      <c r="H71" s="37"/>
      <c r="I71" s="37"/>
      <c r="J71" s="37"/>
    </row>
    <row r="72" spans="1:10" ht="15" x14ac:dyDescent="0.25">
      <c r="A72" s="37"/>
      <c r="B72" s="37"/>
      <c r="C72" s="37"/>
      <c r="D72" s="37"/>
      <c r="E72" s="37"/>
      <c r="F72" s="37"/>
      <c r="G72" s="37"/>
      <c r="H72" s="37"/>
      <c r="I72" s="37"/>
      <c r="J72" s="37"/>
    </row>
    <row r="73" spans="1:10" ht="15" x14ac:dyDescent="0.25">
      <c r="A73" s="37"/>
      <c r="B73" s="37"/>
      <c r="C73" s="37"/>
      <c r="D73" s="37"/>
      <c r="E73" s="37"/>
      <c r="F73" s="37"/>
      <c r="G73" s="37"/>
      <c r="H73" s="37"/>
      <c r="I73" s="37"/>
      <c r="J73" s="37"/>
    </row>
    <row r="74" spans="1:10" ht="15" x14ac:dyDescent="0.25">
      <c r="A74" s="37"/>
      <c r="B74" s="37"/>
      <c r="C74" s="37"/>
      <c r="D74" s="37"/>
      <c r="E74" s="37"/>
      <c r="F74" s="37"/>
      <c r="G74" s="37"/>
      <c r="H74" s="37"/>
      <c r="I74" s="37"/>
      <c r="J74" s="37"/>
    </row>
  </sheetData>
  <sheetProtection algorithmName="SHA-512" hashValue="0abZ0VfwGHQggpF3eqV0CTobGv41F/jReQrKMjwVfhewPU7NW1UFwKj7SF9/PC1bNDI0TMQIkRHDlHZ+6bWhIA==" saltValue="rUYriQBoiEGRFHJFdbCVHg==" spinCount="100000" sheet="1" selectLockedCells="1"/>
  <mergeCells count="16">
    <mergeCell ref="H47:J49"/>
    <mergeCell ref="B53:B54"/>
    <mergeCell ref="B27:B28"/>
    <mergeCell ref="H25:J26"/>
    <mergeCell ref="B40:B41"/>
    <mergeCell ref="H40:I41"/>
    <mergeCell ref="J40:J41"/>
    <mergeCell ref="H30:J31"/>
    <mergeCell ref="H29:J29"/>
    <mergeCell ref="H38:J39"/>
    <mergeCell ref="H18:J21"/>
    <mergeCell ref="D2:J3"/>
    <mergeCell ref="D4:J5"/>
    <mergeCell ref="C10:E10"/>
    <mergeCell ref="B14:B15"/>
    <mergeCell ref="H16:J17"/>
  </mergeCells>
  <conditionalFormatting sqref="E16:E22 E29:E35 E42:E48 E55:E61">
    <cfRule type="cellIs" dxfId="0" priority="1" operator="equal">
      <formula>"ERREUR"</formula>
    </cfRule>
  </conditionalFormatting>
  <pageMargins left="0.39370078740157483" right="0.39370078740157483" top="0.39370078740157483" bottom="0.39370078740157483" header="0.31496062992125984" footer="0.31496062992125984"/>
  <pageSetup paperSize="9" scale="88" orientation="portrait" r:id="rId1"/>
  <customProperties>
    <customPr name="_pios_id" r:id="rId2"/>
  </customPropertie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Settings!$E$18:$E$21</xm:f>
          </x14:formula1>
          <xm:sqref>C10:E10</xm:sqref>
        </x14:dataValidation>
        <x14:dataValidation type="list" allowBlank="1" showInputMessage="1" showErrorMessage="1" xr:uid="{00000000-0002-0000-0100-000001000000}">
          <x14:formula1>
            <xm:f>Settings!$E$29:$E$39</xm:f>
          </x14:formula1>
          <xm:sqref>B17:B19 B30:B32 B43:B45 B56:B58</xm:sqref>
        </x14:dataValidation>
        <x14:dataValidation type="list" allowBlank="1" showInputMessage="1" showErrorMessage="1" xr:uid="{00000000-0002-0000-0100-000002000000}">
          <x14:formula1>
            <xm:f>Settings!$G$29:$G$33</xm:f>
          </x14:formula1>
          <xm:sqref>B37 B50 B63</xm:sqref>
        </x14:dataValidation>
        <x14:dataValidation type="list" allowBlank="1" showInputMessage="1" showErrorMessage="1" xr:uid="{00000000-0002-0000-0100-000003000000}">
          <x14:formula1>
            <xm:f>Settings!$G$36:$G$39</xm:f>
          </x14:formula1>
          <xm:sqref>B27:B28 B40:B41 B53:B54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I108"/>
  <sheetViews>
    <sheetView showGridLines="0" zoomScale="125" zoomScaleNormal="125" workbookViewId="0">
      <selection activeCell="I2" sqref="I2"/>
    </sheetView>
  </sheetViews>
  <sheetFormatPr defaultColWidth="11.42578125" defaultRowHeight="12.75" x14ac:dyDescent="0.2"/>
  <cols>
    <col min="1" max="4" width="11.42578125" style="1"/>
    <col min="5" max="5" width="29.140625" style="1" bestFit="1" customWidth="1"/>
    <col min="6" max="7" width="11.42578125" style="1"/>
    <col min="8" max="8" width="13.140625" style="1" customWidth="1"/>
    <col min="9" max="16384" width="11.42578125" style="1"/>
  </cols>
  <sheetData>
    <row r="2" spans="2:9" x14ac:dyDescent="0.2">
      <c r="B2" s="1" t="s">
        <v>47</v>
      </c>
      <c r="E2" s="1" t="s">
        <v>6</v>
      </c>
      <c r="H2" s="1" t="s">
        <v>1</v>
      </c>
      <c r="I2" s="1">
        <f>+'Barême Loi'!I4</f>
        <v>968.04</v>
      </c>
    </row>
    <row r="3" spans="2:9" ht="13.5" thickBot="1" x14ac:dyDescent="0.25"/>
    <row r="4" spans="2:9" ht="25.5" x14ac:dyDescent="0.25">
      <c r="B4" s="1" t="s">
        <v>48</v>
      </c>
      <c r="C4" s="1" t="s">
        <v>1</v>
      </c>
      <c r="E4" s="6" t="s">
        <v>0</v>
      </c>
      <c r="F4" s="189" t="s">
        <v>262</v>
      </c>
      <c r="G4" s="7"/>
      <c r="H4"/>
      <c r="I4"/>
    </row>
    <row r="5" spans="2:9" ht="15.75" thickBot="1" x14ac:dyDescent="0.3">
      <c r="B5" s="11">
        <v>43831</v>
      </c>
      <c r="C5" s="12">
        <v>834.76</v>
      </c>
      <c r="E5" s="8" t="s">
        <v>1</v>
      </c>
      <c r="F5" s="9">
        <v>100</v>
      </c>
      <c r="G5" s="10">
        <f>I2</f>
        <v>968.04</v>
      </c>
      <c r="H5"/>
      <c r="I5"/>
    </row>
    <row r="6" spans="2:9" ht="15" x14ac:dyDescent="0.25">
      <c r="B6" s="11">
        <v>44470</v>
      </c>
      <c r="C6" s="12">
        <v>855.62</v>
      </c>
      <c r="E6" s="3" t="s">
        <v>2</v>
      </c>
      <c r="F6" s="13"/>
      <c r="G6" s="14"/>
      <c r="H6"/>
      <c r="I6"/>
    </row>
    <row r="7" spans="2:9" ht="15" x14ac:dyDescent="0.25">
      <c r="B7" s="11">
        <v>44652</v>
      </c>
      <c r="C7" s="12">
        <v>877.01</v>
      </c>
      <c r="E7" s="5" t="s">
        <v>270</v>
      </c>
      <c r="F7" s="213">
        <f>+'Barême Loi'!C42</f>
        <v>394.66666666666669</v>
      </c>
      <c r="G7" s="218">
        <f>ROUND(F7/F$5*G$5,2)</f>
        <v>3820.53</v>
      </c>
      <c r="H7"/>
      <c r="I7"/>
    </row>
    <row r="8" spans="2:9" ht="15" x14ac:dyDescent="0.25">
      <c r="B8" s="11">
        <v>44958</v>
      </c>
      <c r="C8" s="12">
        <v>898.93</v>
      </c>
      <c r="E8" s="5" t="s">
        <v>271</v>
      </c>
      <c r="F8" s="213">
        <f>+'Barême Loi'!C43</f>
        <v>592</v>
      </c>
      <c r="G8" s="218">
        <f t="shared" ref="G8:G13" si="0">ROUND(F8/F$5*G$5,2)</f>
        <v>5730.8</v>
      </c>
      <c r="H8"/>
      <c r="I8"/>
    </row>
    <row r="9" spans="2:9" ht="15" x14ac:dyDescent="0.25">
      <c r="B9" s="11">
        <v>45017</v>
      </c>
      <c r="C9" s="12">
        <v>921.4</v>
      </c>
      <c r="E9" s="5" t="s">
        <v>273</v>
      </c>
      <c r="F9" s="213">
        <f>+'Barême Loi'!C44</f>
        <v>749.83333333333337</v>
      </c>
      <c r="G9" s="218">
        <f t="shared" si="0"/>
        <v>7258.69</v>
      </c>
      <c r="H9"/>
      <c r="I9"/>
    </row>
    <row r="10" spans="2:9" ht="15" x14ac:dyDescent="0.25">
      <c r="B10" s="168">
        <v>45170</v>
      </c>
      <c r="C10" s="169">
        <v>944.43</v>
      </c>
      <c r="E10" s="5" t="s">
        <v>272</v>
      </c>
      <c r="F10" s="213">
        <f>+'Barême Loi'!C45</f>
        <v>907.75</v>
      </c>
      <c r="G10" s="218">
        <f t="shared" si="0"/>
        <v>8787.3799999999992</v>
      </c>
      <c r="H10"/>
      <c r="I10"/>
    </row>
    <row r="11" spans="2:9" ht="15" x14ac:dyDescent="0.25">
      <c r="B11" s="168">
        <v>45778</v>
      </c>
      <c r="C11" s="169">
        <f>+'Indice A1'!H82</f>
        <v>968.04</v>
      </c>
      <c r="E11" s="5" t="s">
        <v>274</v>
      </c>
      <c r="F11" s="213">
        <f>+'Barême Loi'!C46</f>
        <v>1065.5833333333333</v>
      </c>
      <c r="G11" s="218">
        <f t="shared" si="0"/>
        <v>10315.27</v>
      </c>
      <c r="H11"/>
      <c r="I11"/>
    </row>
    <row r="12" spans="2:9" ht="15" x14ac:dyDescent="0.25">
      <c r="B12" s="168">
        <v>45536</v>
      </c>
      <c r="C12" s="169"/>
      <c r="E12" s="185" t="s">
        <v>261</v>
      </c>
      <c r="F12" s="216">
        <f>+'Barême Loi'!C47</f>
        <v>118.41666666666667</v>
      </c>
      <c r="G12" s="219">
        <f t="shared" si="0"/>
        <v>1146.32</v>
      </c>
      <c r="H12"/>
      <c r="I12"/>
    </row>
    <row r="13" spans="2:9" ht="15.75" thickBot="1" x14ac:dyDescent="0.3">
      <c r="B13" s="168">
        <v>45748</v>
      </c>
      <c r="C13" s="169"/>
      <c r="E13" s="182" t="s">
        <v>69</v>
      </c>
      <c r="F13" s="217">
        <f>+'Barême Loi'!C48</f>
        <v>157.83333333333334</v>
      </c>
      <c r="G13" s="220">
        <f t="shared" si="0"/>
        <v>1527.89</v>
      </c>
      <c r="H13"/>
      <c r="I13"/>
    </row>
    <row r="14" spans="2:9" x14ac:dyDescent="0.2">
      <c r="B14" s="168">
        <v>45901</v>
      </c>
      <c r="C14" s="169"/>
    </row>
    <row r="15" spans="2:9" x14ac:dyDescent="0.2">
      <c r="B15" s="168">
        <v>46113</v>
      </c>
      <c r="C15" s="169"/>
      <c r="E15" s="190" t="s">
        <v>49</v>
      </c>
      <c r="F15" s="190"/>
      <c r="G15" s="191">
        <v>45170</v>
      </c>
      <c r="H15" s="190"/>
      <c r="I15" s="191">
        <v>45200</v>
      </c>
    </row>
    <row r="16" spans="2:9" ht="13.5" thickBot="1" x14ac:dyDescent="0.25">
      <c r="B16" s="168">
        <v>46266</v>
      </c>
      <c r="C16" s="169"/>
    </row>
    <row r="17" spans="2:9" ht="13.5" thickBot="1" x14ac:dyDescent="0.25">
      <c r="B17" s="168">
        <v>46478</v>
      </c>
      <c r="C17" s="169"/>
      <c r="E17" s="16" t="s">
        <v>14</v>
      </c>
    </row>
    <row r="18" spans="2:9" x14ac:dyDescent="0.2">
      <c r="B18" s="168">
        <v>46631</v>
      </c>
      <c r="C18" s="169"/>
      <c r="E18" s="17" t="s">
        <v>8</v>
      </c>
    </row>
    <row r="19" spans="2:9" x14ac:dyDescent="0.2">
      <c r="B19" s="168">
        <v>46844</v>
      </c>
      <c r="C19" s="169"/>
      <c r="E19" s="18" t="s">
        <v>3</v>
      </c>
    </row>
    <row r="20" spans="2:9" x14ac:dyDescent="0.2">
      <c r="B20" s="168">
        <v>46997</v>
      </c>
      <c r="C20" s="169"/>
      <c r="E20" s="18" t="s">
        <v>4</v>
      </c>
      <c r="H20" s="12"/>
    </row>
    <row r="21" spans="2:9" ht="13.5" thickBot="1" x14ac:dyDescent="0.25">
      <c r="E21" s="19" t="s">
        <v>5</v>
      </c>
    </row>
    <row r="22" spans="2:9" ht="13.5" thickBot="1" x14ac:dyDescent="0.25"/>
    <row r="23" spans="2:9" ht="13.5" thickBot="1" x14ac:dyDescent="0.25">
      <c r="B23" s="1" t="s">
        <v>259</v>
      </c>
      <c r="E23" s="16" t="s">
        <v>13</v>
      </c>
      <c r="G23" s="20" t="s">
        <v>7</v>
      </c>
      <c r="H23" s="21"/>
    </row>
    <row r="24" spans="2:9" ht="13.5" thickBot="1" x14ac:dyDescent="0.25">
      <c r="E24" s="30" t="str">
        <f>+'Calcul RND'!TYPE_COMMUNAUTE</f>
        <v>Personne seule</v>
      </c>
      <c r="G24" s="24" t="s">
        <v>15</v>
      </c>
      <c r="H24" s="25">
        <f>IFERROR(IF(AND(E24=E21,E25&gt;3),G11+((E25-3)*G12+MAX('Calcul RND'!C12-2,0)*Settings!G13),VLOOKUP(E26,E69:G101,3,FALSE)),"/")</f>
        <v>3820.53</v>
      </c>
      <c r="I24" s="12"/>
    </row>
    <row r="25" spans="2:9" ht="15.75" thickBot="1" x14ac:dyDescent="0.3">
      <c r="B25" s="174" t="s">
        <v>48</v>
      </c>
      <c r="C25" s="175" t="s">
        <v>1</v>
      </c>
      <c r="E25" s="32">
        <f>+'Calcul RND'!NOMBRE_ENFANTS</f>
        <v>0</v>
      </c>
      <c r="G25"/>
      <c r="H25" s="188"/>
    </row>
    <row r="26" spans="2:9" ht="13.5" thickBot="1" x14ac:dyDescent="0.25">
      <c r="B26" s="178">
        <v>2020</v>
      </c>
      <c r="C26" s="176">
        <v>834.76</v>
      </c>
      <c r="E26" s="31" t="str">
        <f>+IF(E24=E19,"1 adulte",IF(E24=E20,IF('Calcul RND'!C12=2,"2 adultes - 0 enfant",CONCATENATE('Calcul RND'!C12," adultes - 0 enfant")),IF(E24=E21,IF('Calcul RND'!C12&lt;3,CONCATENATE("1 ou 2 adultes - ",'Calcul RND'!NOMBRE_ENFANTS," enfant",IF('Calcul RND'!NOMBRE_ENFANTS&gt;1,"s","")),CONCATENATE('Calcul RND'!C12," adultes - ",'Calcul RND'!NOMBRE_ENFANTS,IF('Calcul RND'!NOMBRE_ENFANTS=1," enfant"," enfants"))),"/")))</f>
        <v>1 adulte</v>
      </c>
      <c r="H26" s="212"/>
    </row>
    <row r="27" spans="2:9" ht="13.5" thickBot="1" x14ac:dyDescent="0.25">
      <c r="B27" s="179">
        <v>2021</v>
      </c>
      <c r="C27" s="177">
        <v>839.98</v>
      </c>
    </row>
    <row r="28" spans="2:9" ht="13.5" thickBot="1" x14ac:dyDescent="0.25">
      <c r="B28" s="178">
        <v>2022</v>
      </c>
      <c r="C28" s="176">
        <v>871.66</v>
      </c>
      <c r="E28" s="16" t="s">
        <v>16</v>
      </c>
      <c r="G28" s="20" t="s">
        <v>33</v>
      </c>
      <c r="H28" s="26"/>
    </row>
    <row r="29" spans="2:9" x14ac:dyDescent="0.2">
      <c r="B29" s="179">
        <v>2023</v>
      </c>
      <c r="C29" s="177">
        <v>921.63</v>
      </c>
      <c r="E29" s="17" t="s">
        <v>26</v>
      </c>
      <c r="G29" s="34" t="s">
        <v>52</v>
      </c>
      <c r="H29" s="35">
        <v>1</v>
      </c>
    </row>
    <row r="30" spans="2:9" x14ac:dyDescent="0.2">
      <c r="B30" s="178">
        <v>2024</v>
      </c>
      <c r="C30" s="176">
        <f>+'Indice A1'!N75</f>
        <v>944.43</v>
      </c>
      <c r="E30" s="17" t="s">
        <v>27</v>
      </c>
      <c r="G30" s="22" t="s">
        <v>34</v>
      </c>
      <c r="H30" s="27">
        <v>0</v>
      </c>
    </row>
    <row r="31" spans="2:9" x14ac:dyDescent="0.2">
      <c r="B31" s="179">
        <v>2025</v>
      </c>
      <c r="C31" s="177">
        <f>+'Indice A1'!N76</f>
        <v>960.17</v>
      </c>
      <c r="E31" s="18" t="s">
        <v>17</v>
      </c>
      <c r="G31" s="22" t="s">
        <v>35</v>
      </c>
      <c r="H31" s="27">
        <v>0.25</v>
      </c>
    </row>
    <row r="32" spans="2:9" x14ac:dyDescent="0.2">
      <c r="B32" s="178">
        <v>2026</v>
      </c>
      <c r="C32" s="176"/>
      <c r="E32" s="18" t="s">
        <v>18</v>
      </c>
      <c r="G32" s="22" t="s">
        <v>36</v>
      </c>
      <c r="H32" s="27">
        <v>0.5</v>
      </c>
    </row>
    <row r="33" spans="2:8" ht="13.5" thickBot="1" x14ac:dyDescent="0.25">
      <c r="B33" s="179">
        <v>2027</v>
      </c>
      <c r="C33" s="177"/>
      <c r="E33" s="18" t="s">
        <v>24</v>
      </c>
      <c r="G33" s="24" t="s">
        <v>53</v>
      </c>
      <c r="H33" s="28">
        <v>1</v>
      </c>
    </row>
    <row r="34" spans="2:8" ht="13.5" thickBot="1" x14ac:dyDescent="0.25">
      <c r="B34" s="178">
        <v>2028</v>
      </c>
      <c r="C34" s="176"/>
      <c r="E34" s="18" t="s">
        <v>19</v>
      </c>
    </row>
    <row r="35" spans="2:8" ht="13.5" thickBot="1" x14ac:dyDescent="0.25">
      <c r="B35" s="179">
        <v>2029</v>
      </c>
      <c r="C35" s="177"/>
      <c r="E35" s="18" t="s">
        <v>20</v>
      </c>
      <c r="G35" s="20" t="s">
        <v>37</v>
      </c>
      <c r="H35" s="26"/>
    </row>
    <row r="36" spans="2:8" x14ac:dyDescent="0.2">
      <c r="B36" s="178">
        <v>2030</v>
      </c>
      <c r="C36" s="176"/>
      <c r="E36" s="18" t="s">
        <v>21</v>
      </c>
      <c r="G36" s="29" t="s">
        <v>8</v>
      </c>
      <c r="H36" s="23"/>
    </row>
    <row r="37" spans="2:8" x14ac:dyDescent="0.2">
      <c r="E37" s="18" t="s">
        <v>22</v>
      </c>
      <c r="G37" s="22" t="s">
        <v>38</v>
      </c>
      <c r="H37" s="23"/>
    </row>
    <row r="38" spans="2:8" x14ac:dyDescent="0.2">
      <c r="E38" s="18" t="s">
        <v>23</v>
      </c>
      <c r="G38" s="22" t="s">
        <v>39</v>
      </c>
      <c r="H38" s="23"/>
    </row>
    <row r="39" spans="2:8" ht="13.5" thickBot="1" x14ac:dyDescent="0.25">
      <c r="E39" s="19" t="s">
        <v>25</v>
      </c>
      <c r="G39" s="24" t="s">
        <v>25</v>
      </c>
      <c r="H39" s="25"/>
    </row>
    <row r="40" spans="2:8" ht="13.5" thickBot="1" x14ac:dyDescent="0.25"/>
    <row r="41" spans="2:8" ht="13.5" thickBot="1" x14ac:dyDescent="0.25">
      <c r="E41" s="16" t="s">
        <v>59</v>
      </c>
      <c r="G41" s="16" t="s">
        <v>252</v>
      </c>
    </row>
    <row r="42" spans="2:8" x14ac:dyDescent="0.2">
      <c r="E42" s="17" t="s">
        <v>216</v>
      </c>
      <c r="G42" s="17" t="s">
        <v>253</v>
      </c>
    </row>
    <row r="43" spans="2:8" x14ac:dyDescent="0.2">
      <c r="E43" s="17">
        <v>1</v>
      </c>
      <c r="G43" s="17">
        <v>0</v>
      </c>
    </row>
    <row r="44" spans="2:8" ht="12" customHeight="1" x14ac:dyDescent="0.2">
      <c r="E44" s="17">
        <f>+E43+1</f>
        <v>2</v>
      </c>
      <c r="G44" s="17">
        <v>1</v>
      </c>
    </row>
    <row r="45" spans="2:8" x14ac:dyDescent="0.2">
      <c r="E45" s="17">
        <f>+E44+1</f>
        <v>3</v>
      </c>
      <c r="G45" s="17">
        <f>+G44+1</f>
        <v>2</v>
      </c>
    </row>
    <row r="46" spans="2:8" x14ac:dyDescent="0.2">
      <c r="E46" s="17">
        <f>+E45+1</f>
        <v>4</v>
      </c>
      <c r="G46" s="17">
        <f>+G45+1</f>
        <v>3</v>
      </c>
    </row>
    <row r="47" spans="2:8" ht="13.5" thickBot="1" x14ac:dyDescent="0.25">
      <c r="E47" s="19">
        <f>+E46+1</f>
        <v>5</v>
      </c>
      <c r="G47" s="17">
        <f>+G46+1</f>
        <v>4</v>
      </c>
    </row>
    <row r="48" spans="2:8" ht="13.5" thickBot="1" x14ac:dyDescent="0.25">
      <c r="G48" s="19">
        <f>+G47+1</f>
        <v>5</v>
      </c>
    </row>
    <row r="49" spans="5:8" ht="13.5" thickBot="1" x14ac:dyDescent="0.25">
      <c r="E49" s="16" t="s">
        <v>217</v>
      </c>
    </row>
    <row r="50" spans="5:8" x14ac:dyDescent="0.2">
      <c r="E50" s="17" t="s">
        <v>218</v>
      </c>
    </row>
    <row r="51" spans="5:8" ht="13.5" thickBot="1" x14ac:dyDescent="0.25">
      <c r="E51" s="19" t="s">
        <v>219</v>
      </c>
    </row>
    <row r="52" spans="5:8" ht="13.5" thickBot="1" x14ac:dyDescent="0.25"/>
    <row r="53" spans="5:8" ht="13.5" thickBot="1" x14ac:dyDescent="0.25">
      <c r="E53" s="16" t="s">
        <v>222</v>
      </c>
    </row>
    <row r="54" spans="5:8" x14ac:dyDescent="0.2">
      <c r="E54" s="17" t="s">
        <v>223</v>
      </c>
    </row>
    <row r="55" spans="5:8" x14ac:dyDescent="0.2">
      <c r="E55" s="17" t="s">
        <v>224</v>
      </c>
    </row>
    <row r="56" spans="5:8" x14ac:dyDescent="0.2">
      <c r="E56" s="17" t="s">
        <v>225</v>
      </c>
    </row>
    <row r="57" spans="5:8" x14ac:dyDescent="0.2">
      <c r="E57" s="17" t="s">
        <v>226</v>
      </c>
    </row>
    <row r="58" spans="5:8" x14ac:dyDescent="0.2">
      <c r="E58" s="17" t="s">
        <v>227</v>
      </c>
    </row>
    <row r="59" spans="5:8" x14ac:dyDescent="0.2">
      <c r="E59" s="17" t="s">
        <v>228</v>
      </c>
    </row>
    <row r="60" spans="5:8" x14ac:dyDescent="0.2">
      <c r="E60" s="17" t="s">
        <v>229</v>
      </c>
    </row>
    <row r="61" spans="5:8" x14ac:dyDescent="0.2">
      <c r="E61" s="17" t="s">
        <v>230</v>
      </c>
    </row>
    <row r="62" spans="5:8" ht="13.5" thickBot="1" x14ac:dyDescent="0.25">
      <c r="E62" s="19" t="s">
        <v>231</v>
      </c>
    </row>
    <row r="64" spans="5:8" x14ac:dyDescent="0.2">
      <c r="H64" s="223"/>
    </row>
    <row r="65" spans="5:8" ht="13.5" thickBot="1" x14ac:dyDescent="0.25">
      <c r="H65" s="223"/>
    </row>
    <row r="66" spans="5:8" ht="25.5" x14ac:dyDescent="0.2">
      <c r="E66" s="6" t="s">
        <v>0</v>
      </c>
      <c r="F66" s="189" t="s">
        <v>262</v>
      </c>
      <c r="G66" s="7"/>
      <c r="H66" s="223"/>
    </row>
    <row r="67" spans="5:8" ht="13.5" thickBot="1" x14ac:dyDescent="0.25">
      <c r="E67" s="8" t="s">
        <v>1</v>
      </c>
      <c r="F67" s="9">
        <v>100</v>
      </c>
      <c r="G67" s="10">
        <f>+Settings!G5</f>
        <v>968.04</v>
      </c>
      <c r="H67" s="223"/>
    </row>
    <row r="68" spans="5:8" x14ac:dyDescent="0.2">
      <c r="E68" s="3" t="s">
        <v>2</v>
      </c>
      <c r="F68" s="13"/>
      <c r="G68" s="14"/>
      <c r="H68" s="223"/>
    </row>
    <row r="69" spans="5:8" x14ac:dyDescent="0.2">
      <c r="E69" s="5" t="s">
        <v>270</v>
      </c>
      <c r="F69" s="213">
        <f>+F7</f>
        <v>394.66666666666669</v>
      </c>
      <c r="G69" s="214">
        <f>ROUND(F69/F$5*G$5,2)</f>
        <v>3820.53</v>
      </c>
      <c r="H69" s="223"/>
    </row>
    <row r="70" spans="5:8" x14ac:dyDescent="0.2">
      <c r="E70" s="5" t="s">
        <v>271</v>
      </c>
      <c r="F70" s="213">
        <f>+F8</f>
        <v>592</v>
      </c>
      <c r="G70" s="214">
        <f t="shared" ref="G70:G103" si="1">ROUND(F70/F$5*G$5,2)</f>
        <v>5730.8</v>
      </c>
      <c r="H70" s="223"/>
    </row>
    <row r="71" spans="5:8" x14ac:dyDescent="0.2">
      <c r="E71" s="5" t="s">
        <v>289</v>
      </c>
      <c r="F71" s="213">
        <f>+F70+$F$13</f>
        <v>749.83333333333337</v>
      </c>
      <c r="G71" s="214">
        <f>+G70+$G$13</f>
        <v>7258.6900000000005</v>
      </c>
      <c r="H71" s="223"/>
    </row>
    <row r="72" spans="5:8" x14ac:dyDescent="0.2">
      <c r="E72" s="5" t="s">
        <v>290</v>
      </c>
      <c r="F72" s="213">
        <f t="shared" ref="F72:F77" si="2">+F71+$F$13</f>
        <v>907.66666666666674</v>
      </c>
      <c r="G72" s="214">
        <f t="shared" ref="G72:G77" si="3">+G71+$G$13</f>
        <v>8786.58</v>
      </c>
      <c r="H72" s="223"/>
    </row>
    <row r="73" spans="5:8" x14ac:dyDescent="0.2">
      <c r="E73" s="5" t="s">
        <v>291</v>
      </c>
      <c r="F73" s="213">
        <f t="shared" si="2"/>
        <v>1065.5</v>
      </c>
      <c r="G73" s="214">
        <f t="shared" si="3"/>
        <v>10314.469999999999</v>
      </c>
      <c r="H73" s="223"/>
    </row>
    <row r="74" spans="5:8" x14ac:dyDescent="0.2">
      <c r="E74" s="5" t="s">
        <v>292</v>
      </c>
      <c r="F74" s="213">
        <f t="shared" si="2"/>
        <v>1223.3333333333333</v>
      </c>
      <c r="G74" s="214">
        <f t="shared" si="3"/>
        <v>11842.359999999999</v>
      </c>
      <c r="H74" s="223"/>
    </row>
    <row r="75" spans="5:8" x14ac:dyDescent="0.2">
      <c r="E75" s="5" t="s">
        <v>293</v>
      </c>
      <c r="F75" s="213">
        <f t="shared" si="2"/>
        <v>1381.1666666666665</v>
      </c>
      <c r="G75" s="214">
        <f t="shared" si="3"/>
        <v>13370.249999999998</v>
      </c>
      <c r="H75" s="223"/>
    </row>
    <row r="76" spans="5:8" x14ac:dyDescent="0.2">
      <c r="E76" s="5" t="s">
        <v>294</v>
      </c>
      <c r="F76" s="213">
        <f t="shared" si="2"/>
        <v>1538.9999999999998</v>
      </c>
      <c r="G76" s="214">
        <f t="shared" si="3"/>
        <v>14898.139999999998</v>
      </c>
      <c r="H76" s="223"/>
    </row>
    <row r="77" spans="5:8" x14ac:dyDescent="0.2">
      <c r="E77" s="5" t="s">
        <v>295</v>
      </c>
      <c r="F77" s="213">
        <f t="shared" si="2"/>
        <v>1696.833333333333</v>
      </c>
      <c r="G77" s="214">
        <f t="shared" si="3"/>
        <v>16426.03</v>
      </c>
      <c r="H77" s="223"/>
    </row>
    <row r="78" spans="5:8" x14ac:dyDescent="0.2">
      <c r="E78" s="5" t="s">
        <v>273</v>
      </c>
      <c r="F78" s="213">
        <f>+F9</f>
        <v>749.83333333333337</v>
      </c>
      <c r="G78" s="214">
        <f t="shared" si="1"/>
        <v>7258.69</v>
      </c>
      <c r="H78" s="223"/>
    </row>
    <row r="79" spans="5:8" x14ac:dyDescent="0.2">
      <c r="E79" s="5" t="s">
        <v>296</v>
      </c>
      <c r="F79" s="213">
        <f>+F78+$F$13</f>
        <v>907.66666666666674</v>
      </c>
      <c r="G79" s="214">
        <f>+G78+$G$13</f>
        <v>8786.58</v>
      </c>
      <c r="H79" s="223"/>
    </row>
    <row r="80" spans="5:8" x14ac:dyDescent="0.2">
      <c r="E80" s="5" t="s">
        <v>297</v>
      </c>
      <c r="F80" s="213">
        <f t="shared" ref="F80:F85" si="4">+F79+$F$13</f>
        <v>1065.5</v>
      </c>
      <c r="G80" s="214">
        <f t="shared" ref="G80:G85" si="5">+G79+$G$13</f>
        <v>10314.469999999999</v>
      </c>
      <c r="H80" s="223"/>
    </row>
    <row r="81" spans="5:8" x14ac:dyDescent="0.2">
      <c r="E81" s="5" t="s">
        <v>298</v>
      </c>
      <c r="F81" s="213">
        <f t="shared" si="4"/>
        <v>1223.3333333333333</v>
      </c>
      <c r="G81" s="214">
        <f t="shared" si="5"/>
        <v>11842.359999999999</v>
      </c>
      <c r="H81" s="223"/>
    </row>
    <row r="82" spans="5:8" x14ac:dyDescent="0.2">
      <c r="E82" s="5" t="s">
        <v>299</v>
      </c>
      <c r="F82" s="213">
        <f t="shared" si="4"/>
        <v>1381.1666666666665</v>
      </c>
      <c r="G82" s="214">
        <f t="shared" si="5"/>
        <v>13370.249999999998</v>
      </c>
      <c r="H82" s="223"/>
    </row>
    <row r="83" spans="5:8" x14ac:dyDescent="0.2">
      <c r="E83" s="5" t="s">
        <v>300</v>
      </c>
      <c r="F83" s="213">
        <f t="shared" si="4"/>
        <v>1538.9999999999998</v>
      </c>
      <c r="G83" s="214">
        <f t="shared" si="5"/>
        <v>14898.139999999998</v>
      </c>
      <c r="H83" s="223"/>
    </row>
    <row r="84" spans="5:8" x14ac:dyDescent="0.2">
      <c r="E84" s="5" t="s">
        <v>301</v>
      </c>
      <c r="F84" s="213">
        <f t="shared" si="4"/>
        <v>1696.833333333333</v>
      </c>
      <c r="G84" s="214">
        <f t="shared" si="5"/>
        <v>16426.03</v>
      </c>
      <c r="H84" s="223"/>
    </row>
    <row r="85" spans="5:8" x14ac:dyDescent="0.2">
      <c r="E85" s="5" t="s">
        <v>302</v>
      </c>
      <c r="F85" s="213">
        <f t="shared" si="4"/>
        <v>1854.6666666666663</v>
      </c>
      <c r="G85" s="214">
        <f t="shared" si="5"/>
        <v>17953.919999999998</v>
      </c>
      <c r="H85" s="223"/>
    </row>
    <row r="86" spans="5:8" x14ac:dyDescent="0.2">
      <c r="E86" s="5" t="s">
        <v>272</v>
      </c>
      <c r="F86" s="213">
        <f>+F10</f>
        <v>907.75</v>
      </c>
      <c r="G86" s="214">
        <f t="shared" si="1"/>
        <v>8787.3799999999992</v>
      </c>
      <c r="H86" s="223"/>
    </row>
    <row r="87" spans="5:8" x14ac:dyDescent="0.2">
      <c r="E87" s="5" t="s">
        <v>303</v>
      </c>
      <c r="F87" s="213">
        <f>+F86+$F$13</f>
        <v>1065.5833333333333</v>
      </c>
      <c r="G87" s="214">
        <f>+G86+$G$13</f>
        <v>10315.269999999999</v>
      </c>
      <c r="H87" s="223"/>
    </row>
    <row r="88" spans="5:8" x14ac:dyDescent="0.2">
      <c r="E88" s="5" t="s">
        <v>304</v>
      </c>
      <c r="F88" s="213">
        <f t="shared" ref="F88:F93" si="6">+F87+$F$13</f>
        <v>1223.4166666666665</v>
      </c>
      <c r="G88" s="214">
        <f t="shared" ref="G88:G93" si="7">+G87+$G$13</f>
        <v>11843.159999999998</v>
      </c>
      <c r="H88" s="223"/>
    </row>
    <row r="89" spans="5:8" x14ac:dyDescent="0.2">
      <c r="E89" s="5" t="s">
        <v>305</v>
      </c>
      <c r="F89" s="213">
        <f t="shared" si="6"/>
        <v>1381.2499999999998</v>
      </c>
      <c r="G89" s="214">
        <f t="shared" si="7"/>
        <v>13371.049999999997</v>
      </c>
      <c r="H89" s="223"/>
    </row>
    <row r="90" spans="5:8" x14ac:dyDescent="0.2">
      <c r="E90" s="5" t="s">
        <v>306</v>
      </c>
      <c r="F90" s="213">
        <f t="shared" si="6"/>
        <v>1539.083333333333</v>
      </c>
      <c r="G90" s="214">
        <f t="shared" si="7"/>
        <v>14898.939999999997</v>
      </c>
      <c r="H90" s="223"/>
    </row>
    <row r="91" spans="5:8" x14ac:dyDescent="0.2">
      <c r="E91" s="5" t="s">
        <v>307</v>
      </c>
      <c r="F91" s="213">
        <f t="shared" si="6"/>
        <v>1696.9166666666663</v>
      </c>
      <c r="G91" s="214">
        <f t="shared" si="7"/>
        <v>16426.829999999998</v>
      </c>
      <c r="H91" s="223"/>
    </row>
    <row r="92" spans="5:8" x14ac:dyDescent="0.2">
      <c r="E92" s="5" t="s">
        <v>308</v>
      </c>
      <c r="F92" s="213">
        <f t="shared" si="6"/>
        <v>1854.7499999999995</v>
      </c>
      <c r="G92" s="214">
        <f t="shared" si="7"/>
        <v>17954.719999999998</v>
      </c>
      <c r="H92" s="223"/>
    </row>
    <row r="93" spans="5:8" x14ac:dyDescent="0.2">
      <c r="E93" s="5" t="s">
        <v>309</v>
      </c>
      <c r="F93" s="213">
        <f t="shared" si="6"/>
        <v>2012.5833333333328</v>
      </c>
      <c r="G93" s="214">
        <f t="shared" si="7"/>
        <v>19482.609999999997</v>
      </c>
      <c r="H93" s="223"/>
    </row>
    <row r="94" spans="5:8" x14ac:dyDescent="0.2">
      <c r="E94" s="5" t="s">
        <v>274</v>
      </c>
      <c r="F94" s="213">
        <f>+F11</f>
        <v>1065.5833333333333</v>
      </c>
      <c r="G94" s="214">
        <f t="shared" si="1"/>
        <v>10315.27</v>
      </c>
      <c r="H94" s="223"/>
    </row>
    <row r="95" spans="5:8" x14ac:dyDescent="0.2">
      <c r="E95" s="5" t="s">
        <v>310</v>
      </c>
      <c r="F95" s="213">
        <f>+F94+$F$13</f>
        <v>1223.4166666666665</v>
      </c>
      <c r="G95" s="214">
        <f>+G94+$G$13</f>
        <v>11843.16</v>
      </c>
      <c r="H95" s="223"/>
    </row>
    <row r="96" spans="5:8" x14ac:dyDescent="0.2">
      <c r="E96" s="5" t="s">
        <v>311</v>
      </c>
      <c r="F96" s="213">
        <f t="shared" ref="F96:F101" si="8">+F95+$F$13</f>
        <v>1381.2499999999998</v>
      </c>
      <c r="G96" s="214">
        <f t="shared" ref="G96:G101" si="9">+G95+$G$13</f>
        <v>13371.05</v>
      </c>
      <c r="H96" s="223"/>
    </row>
    <row r="97" spans="5:8" x14ac:dyDescent="0.2">
      <c r="E97" s="5" t="s">
        <v>312</v>
      </c>
      <c r="F97" s="213">
        <f t="shared" si="8"/>
        <v>1539.083333333333</v>
      </c>
      <c r="G97" s="214">
        <f t="shared" si="9"/>
        <v>14898.939999999999</v>
      </c>
      <c r="H97" s="223"/>
    </row>
    <row r="98" spans="5:8" x14ac:dyDescent="0.2">
      <c r="E98" s="5" t="s">
        <v>313</v>
      </c>
      <c r="F98" s="213">
        <f t="shared" si="8"/>
        <v>1696.9166666666663</v>
      </c>
      <c r="G98" s="214">
        <f t="shared" si="9"/>
        <v>16426.829999999998</v>
      </c>
      <c r="H98" s="223"/>
    </row>
    <row r="99" spans="5:8" x14ac:dyDescent="0.2">
      <c r="E99" s="5" t="s">
        <v>314</v>
      </c>
      <c r="F99" s="213">
        <f t="shared" si="8"/>
        <v>1854.7499999999995</v>
      </c>
      <c r="G99" s="214">
        <f t="shared" si="9"/>
        <v>17954.719999999998</v>
      </c>
      <c r="H99" s="223"/>
    </row>
    <row r="100" spans="5:8" x14ac:dyDescent="0.2">
      <c r="E100" s="5" t="s">
        <v>315</v>
      </c>
      <c r="F100" s="213">
        <f t="shared" si="8"/>
        <v>2012.5833333333328</v>
      </c>
      <c r="G100" s="214">
        <f t="shared" si="9"/>
        <v>19482.609999999997</v>
      </c>
      <c r="H100" s="223"/>
    </row>
    <row r="101" spans="5:8" x14ac:dyDescent="0.2">
      <c r="E101" s="5" t="s">
        <v>316</v>
      </c>
      <c r="F101" s="213">
        <f t="shared" si="8"/>
        <v>2170.4166666666661</v>
      </c>
      <c r="G101" s="214">
        <f t="shared" si="9"/>
        <v>21010.499999999996</v>
      </c>
      <c r="H101" s="223"/>
    </row>
    <row r="102" spans="5:8" x14ac:dyDescent="0.2">
      <c r="E102" s="185" t="s">
        <v>261</v>
      </c>
      <c r="F102" s="186">
        <f>+F12</f>
        <v>118.41666666666667</v>
      </c>
      <c r="G102" s="187">
        <f t="shared" si="1"/>
        <v>1146.32</v>
      </c>
      <c r="H102" s="223"/>
    </row>
    <row r="103" spans="5:8" ht="13.5" thickBot="1" x14ac:dyDescent="0.25">
      <c r="E103" s="182" t="s">
        <v>69</v>
      </c>
      <c r="F103" s="183">
        <f>+F13</f>
        <v>157.83333333333334</v>
      </c>
      <c r="G103" s="184">
        <f t="shared" si="1"/>
        <v>1527.89</v>
      </c>
      <c r="H103" s="223"/>
    </row>
    <row r="106" spans="5:8" x14ac:dyDescent="0.2">
      <c r="E106" s="1" t="s">
        <v>319</v>
      </c>
    </row>
    <row r="107" spans="5:8" x14ac:dyDescent="0.2">
      <c r="E107" s="1" t="s">
        <v>320</v>
      </c>
    </row>
    <row r="108" spans="5:8" x14ac:dyDescent="0.2">
      <c r="E108" s="1" t="s">
        <v>321</v>
      </c>
    </row>
  </sheetData>
  <pageMargins left="0.7" right="0.7" top="0.75" bottom="0.75" header="0.3" footer="0.3"/>
  <pageSetup paperSize="9" orientation="portrait" r:id="rId1"/>
  <customProperties>
    <customPr name="_pios_id" r:id="rId2"/>
  </customProperties>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50"/>
  <sheetViews>
    <sheetView showGridLines="0" zoomScale="140" zoomScaleNormal="140" workbookViewId="0">
      <selection activeCell="I2" sqref="I2"/>
    </sheetView>
  </sheetViews>
  <sheetFormatPr defaultColWidth="9.140625" defaultRowHeight="12.75" x14ac:dyDescent="0.2"/>
  <cols>
    <col min="1" max="1" width="9.140625" style="115"/>
    <col min="2" max="2" width="22.85546875" style="115" bestFit="1" customWidth="1"/>
    <col min="3" max="3" width="18.7109375" style="115" bestFit="1" customWidth="1"/>
    <col min="4" max="4" width="25.85546875" style="115" bestFit="1" customWidth="1"/>
    <col min="5" max="5" width="21.7109375" style="115" bestFit="1" customWidth="1"/>
    <col min="6" max="6" width="7.140625" style="115" bestFit="1" customWidth="1"/>
    <col min="7" max="7" width="9.140625" style="115"/>
    <col min="8" max="11" width="20.7109375" style="115" customWidth="1"/>
    <col min="12" max="16384" width="9.140625" style="115"/>
  </cols>
  <sheetData>
    <row r="2" spans="2:12" x14ac:dyDescent="0.2">
      <c r="B2" s="121" t="s">
        <v>89</v>
      </c>
    </row>
    <row r="4" spans="2:12" x14ac:dyDescent="0.2">
      <c r="B4" s="115" t="s">
        <v>1</v>
      </c>
      <c r="C4" s="115">
        <v>100</v>
      </c>
      <c r="H4" s="115" t="s">
        <v>1</v>
      </c>
      <c r="I4" s="222">
        <f>+IF('Calcul du loyer indexé'!E22=Settings!E107,VLOOKUP(YEAR('Calcul du loyer indexé'!E20)-1,Settings!$B$26:$C$34,2,FALSE),'Indice A1'!H82)</f>
        <v>968.04</v>
      </c>
    </row>
    <row r="5" spans="2:12" ht="13.5" thickBot="1" x14ac:dyDescent="0.25"/>
    <row r="6" spans="2:12" ht="26.25" customHeight="1" thickBot="1" x14ac:dyDescent="0.25">
      <c r="B6" s="351" t="s">
        <v>78</v>
      </c>
      <c r="C6" s="120" t="s">
        <v>75</v>
      </c>
      <c r="D6" s="120" t="s">
        <v>76</v>
      </c>
      <c r="E6" s="110" t="s">
        <v>77</v>
      </c>
      <c r="H6" s="351" t="s">
        <v>78</v>
      </c>
      <c r="I6" s="120" t="s">
        <v>75</v>
      </c>
      <c r="J6" s="120" t="s">
        <v>76</v>
      </c>
      <c r="K6" s="110" t="s">
        <v>77</v>
      </c>
    </row>
    <row r="7" spans="2:12" ht="15" customHeight="1" x14ac:dyDescent="0.2">
      <c r="B7" s="352"/>
      <c r="C7" s="116" t="s">
        <v>74</v>
      </c>
      <c r="D7" s="116" t="s">
        <v>74</v>
      </c>
      <c r="E7" s="117" t="s">
        <v>74</v>
      </c>
      <c r="H7" s="352"/>
      <c r="I7" s="116" t="s">
        <v>74</v>
      </c>
      <c r="J7" s="116" t="s">
        <v>74</v>
      </c>
      <c r="K7" s="117" t="s">
        <v>74</v>
      </c>
    </row>
    <row r="8" spans="2:12" ht="15.75" customHeight="1" thickBot="1" x14ac:dyDescent="0.25">
      <c r="B8" s="353"/>
      <c r="C8" s="118" t="s">
        <v>63</v>
      </c>
      <c r="D8" s="118" t="s">
        <v>63</v>
      </c>
      <c r="E8" s="119" t="s">
        <v>63</v>
      </c>
      <c r="H8" s="353"/>
      <c r="I8" s="118" t="s">
        <v>63</v>
      </c>
      <c r="J8" s="118" t="s">
        <v>63</v>
      </c>
      <c r="K8" s="119" t="s">
        <v>63</v>
      </c>
    </row>
    <row r="9" spans="2:12" ht="15" thickBot="1" x14ac:dyDescent="0.25">
      <c r="B9" s="112" t="s">
        <v>70</v>
      </c>
      <c r="C9" s="221">
        <v>167.75</v>
      </c>
      <c r="D9" s="221">
        <v>457.08333333333331</v>
      </c>
      <c r="E9" s="221">
        <v>533.08333333333337</v>
      </c>
      <c r="F9" s="113">
        <v>100</v>
      </c>
      <c r="H9" s="112" t="s">
        <v>70</v>
      </c>
      <c r="I9" s="131">
        <f t="shared" ref="I9:I19" si="0">+ROUNDDOWN(C9/$C$4*$I$4,2)</f>
        <v>1623.88</v>
      </c>
      <c r="J9" s="131">
        <f t="shared" ref="J9:J19" si="1">+ROUNDDOWN(D9/$C$4*$I$4,2)</f>
        <v>4424.74</v>
      </c>
      <c r="K9" s="132">
        <f t="shared" ref="K9:K19" si="2">+ROUNDDOWN(E9/$C$4*$I$4,2)</f>
        <v>5160.45</v>
      </c>
      <c r="L9" s="113">
        <f t="shared" ref="L9:L17" si="3">+F9</f>
        <v>100</v>
      </c>
    </row>
    <row r="10" spans="2:12" ht="15" thickBot="1" x14ac:dyDescent="0.25">
      <c r="B10" s="114" t="s">
        <v>71</v>
      </c>
      <c r="C10" s="221">
        <v>251.58333333333334</v>
      </c>
      <c r="D10" s="221">
        <v>685.58333333333337</v>
      </c>
      <c r="E10" s="221">
        <v>799.66666666666663</v>
      </c>
      <c r="F10" s="113">
        <v>101</v>
      </c>
      <c r="H10" s="114" t="s">
        <v>71</v>
      </c>
      <c r="I10" s="133">
        <f t="shared" si="0"/>
        <v>2435.42</v>
      </c>
      <c r="J10" s="133">
        <f t="shared" si="1"/>
        <v>6636.72</v>
      </c>
      <c r="K10" s="134">
        <f t="shared" si="2"/>
        <v>7741.09</v>
      </c>
      <c r="L10" s="113">
        <f t="shared" si="3"/>
        <v>101</v>
      </c>
    </row>
    <row r="11" spans="2:12" ht="15" thickBot="1" x14ac:dyDescent="0.25">
      <c r="B11" s="114" t="s">
        <v>72</v>
      </c>
      <c r="C11" s="221">
        <v>318.66666666666669</v>
      </c>
      <c r="D11" s="221">
        <v>868.41666666666663</v>
      </c>
      <c r="E11" s="221">
        <v>1012.9166666666666</v>
      </c>
      <c r="F11" s="113">
        <v>102</v>
      </c>
      <c r="H11" s="114" t="s">
        <v>72</v>
      </c>
      <c r="I11" s="133">
        <f t="shared" si="0"/>
        <v>3084.82</v>
      </c>
      <c r="J11" s="133">
        <f t="shared" si="1"/>
        <v>8406.6200000000008</v>
      </c>
      <c r="K11" s="134">
        <f t="shared" si="2"/>
        <v>9805.43</v>
      </c>
      <c r="L11" s="113">
        <f t="shared" si="3"/>
        <v>102</v>
      </c>
    </row>
    <row r="12" spans="2:12" ht="15" thickBot="1" x14ac:dyDescent="0.25">
      <c r="B12" s="114" t="s">
        <v>73</v>
      </c>
      <c r="C12" s="221">
        <v>385.75</v>
      </c>
      <c r="D12" s="221">
        <v>1051.25</v>
      </c>
      <c r="E12" s="221">
        <v>1226.1666666666667</v>
      </c>
      <c r="F12" s="113">
        <v>103</v>
      </c>
      <c r="H12" s="114" t="s">
        <v>73</v>
      </c>
      <c r="I12" s="133">
        <f t="shared" si="0"/>
        <v>3734.21</v>
      </c>
      <c r="J12" s="133">
        <f t="shared" si="1"/>
        <v>10176.52</v>
      </c>
      <c r="K12" s="134">
        <f t="shared" si="2"/>
        <v>11869.78</v>
      </c>
      <c r="L12" s="113">
        <f t="shared" si="3"/>
        <v>103</v>
      </c>
    </row>
    <row r="13" spans="2:12" ht="15" thickBot="1" x14ac:dyDescent="0.25">
      <c r="B13" s="114" t="s">
        <v>64</v>
      </c>
      <c r="C13" s="221">
        <v>50.333333333333336</v>
      </c>
      <c r="D13" s="221">
        <v>137.08333333333334</v>
      </c>
      <c r="E13" s="221">
        <v>159.91666666666666</v>
      </c>
      <c r="F13" s="113"/>
      <c r="H13" s="114" t="s">
        <v>64</v>
      </c>
      <c r="I13" s="133">
        <f t="shared" si="0"/>
        <v>487.24</v>
      </c>
      <c r="J13" s="133">
        <f t="shared" si="1"/>
        <v>1327.02</v>
      </c>
      <c r="K13" s="134">
        <f t="shared" si="2"/>
        <v>1548.05</v>
      </c>
      <c r="L13" s="113">
        <f t="shared" si="3"/>
        <v>0</v>
      </c>
    </row>
    <row r="14" spans="2:12" ht="15" thickBot="1" x14ac:dyDescent="0.25">
      <c r="B14" s="114" t="s">
        <v>65</v>
      </c>
      <c r="C14" s="221">
        <v>251.58333333333334</v>
      </c>
      <c r="D14" s="221">
        <v>685.58333333333337</v>
      </c>
      <c r="E14" s="221">
        <v>799.66666666666663</v>
      </c>
      <c r="F14" s="113">
        <v>200</v>
      </c>
      <c r="H14" s="114" t="s">
        <v>65</v>
      </c>
      <c r="I14" s="133">
        <f t="shared" si="0"/>
        <v>2435.42</v>
      </c>
      <c r="J14" s="133">
        <f t="shared" si="1"/>
        <v>6636.72</v>
      </c>
      <c r="K14" s="134">
        <f t="shared" si="2"/>
        <v>7741.09</v>
      </c>
      <c r="L14" s="113">
        <f t="shared" si="3"/>
        <v>200</v>
      </c>
    </row>
    <row r="15" spans="2:12" ht="15" thickBot="1" x14ac:dyDescent="0.25">
      <c r="B15" s="114" t="s">
        <v>66</v>
      </c>
      <c r="C15" s="221">
        <v>318.66666666666669</v>
      </c>
      <c r="D15" s="221">
        <v>868.41666666666663</v>
      </c>
      <c r="E15" s="221">
        <v>1012.9166666666666</v>
      </c>
      <c r="F15" s="113">
        <v>201</v>
      </c>
      <c r="H15" s="114" t="s">
        <v>66</v>
      </c>
      <c r="I15" s="133">
        <f t="shared" si="0"/>
        <v>3084.82</v>
      </c>
      <c r="J15" s="133">
        <f t="shared" si="1"/>
        <v>8406.6200000000008</v>
      </c>
      <c r="K15" s="134">
        <f t="shared" si="2"/>
        <v>9805.43</v>
      </c>
      <c r="L15" s="113">
        <f t="shared" si="3"/>
        <v>201</v>
      </c>
    </row>
    <row r="16" spans="2:12" ht="15" thickBot="1" x14ac:dyDescent="0.25">
      <c r="B16" s="114" t="s">
        <v>67</v>
      </c>
      <c r="C16" s="221">
        <v>385.75</v>
      </c>
      <c r="D16" s="221">
        <v>1051.25</v>
      </c>
      <c r="E16" s="221">
        <v>1226.1666666666667</v>
      </c>
      <c r="F16" s="113">
        <v>202</v>
      </c>
      <c r="H16" s="114" t="s">
        <v>67</v>
      </c>
      <c r="I16" s="133">
        <f t="shared" si="0"/>
        <v>3734.21</v>
      </c>
      <c r="J16" s="133">
        <f t="shared" si="1"/>
        <v>10176.52</v>
      </c>
      <c r="K16" s="134">
        <f t="shared" si="2"/>
        <v>11869.78</v>
      </c>
      <c r="L16" s="113">
        <f t="shared" si="3"/>
        <v>202</v>
      </c>
    </row>
    <row r="17" spans="2:12" ht="15" thickBot="1" x14ac:dyDescent="0.25">
      <c r="B17" s="114" t="s">
        <v>79</v>
      </c>
      <c r="C17" s="221">
        <v>452.83333333333331</v>
      </c>
      <c r="D17" s="221">
        <v>1234.0833333333333</v>
      </c>
      <c r="E17" s="221">
        <v>1439.4166666666667</v>
      </c>
      <c r="F17" s="113">
        <v>203</v>
      </c>
      <c r="H17" s="114" t="s">
        <v>79</v>
      </c>
      <c r="I17" s="133">
        <f t="shared" si="0"/>
        <v>4383.6000000000004</v>
      </c>
      <c r="J17" s="133">
        <f t="shared" si="1"/>
        <v>11946.42</v>
      </c>
      <c r="K17" s="134">
        <f t="shared" si="2"/>
        <v>13934.12</v>
      </c>
      <c r="L17" s="113">
        <f t="shared" si="3"/>
        <v>203</v>
      </c>
    </row>
    <row r="18" spans="2:12" ht="15" thickBot="1" x14ac:dyDescent="0.25">
      <c r="B18" s="114" t="s">
        <v>68</v>
      </c>
      <c r="C18" s="221">
        <v>50.333333333333336</v>
      </c>
      <c r="D18" s="221">
        <v>137.08333333333334</v>
      </c>
      <c r="E18" s="221">
        <v>159.91666666666666</v>
      </c>
      <c r="H18" s="114" t="s">
        <v>68</v>
      </c>
      <c r="I18" s="133">
        <f t="shared" si="0"/>
        <v>487.24</v>
      </c>
      <c r="J18" s="133">
        <f t="shared" si="1"/>
        <v>1327.02</v>
      </c>
      <c r="K18" s="134">
        <f t="shared" si="2"/>
        <v>1548.05</v>
      </c>
    </row>
    <row r="19" spans="2:12" ht="15" thickBot="1" x14ac:dyDescent="0.25">
      <c r="B19" s="111" t="s">
        <v>69</v>
      </c>
      <c r="C19" s="221">
        <v>67.083333333333329</v>
      </c>
      <c r="D19" s="221">
        <v>182.83333333333334</v>
      </c>
      <c r="E19" s="221">
        <v>213.25</v>
      </c>
      <c r="H19" s="111" t="s">
        <v>69</v>
      </c>
      <c r="I19" s="135">
        <f t="shared" si="0"/>
        <v>649.39</v>
      </c>
      <c r="J19" s="135">
        <f t="shared" si="1"/>
        <v>1769.89</v>
      </c>
      <c r="K19" s="136">
        <f t="shared" si="2"/>
        <v>2064.34</v>
      </c>
    </row>
    <row r="20" spans="2:12" x14ac:dyDescent="0.2">
      <c r="C20" s="210"/>
      <c r="D20" s="210"/>
      <c r="E20" s="210"/>
    </row>
    <row r="21" spans="2:12" x14ac:dyDescent="0.2">
      <c r="C21" s="209"/>
      <c r="I21" s="208"/>
      <c r="J21" s="208"/>
    </row>
    <row r="22" spans="2:12" x14ac:dyDescent="0.2">
      <c r="B22" s="121" t="s">
        <v>239</v>
      </c>
    </row>
    <row r="24" spans="2:12" ht="13.5" thickBot="1" x14ac:dyDescent="0.25">
      <c r="C24" s="115">
        <f>+C4</f>
        <v>100</v>
      </c>
      <c r="D24" s="196">
        <f>+Settings!C11</f>
        <v>968.04</v>
      </c>
    </row>
    <row r="25" spans="2:12" x14ac:dyDescent="0.2">
      <c r="B25" s="138" t="s">
        <v>240</v>
      </c>
      <c r="C25" s="139" t="s">
        <v>242</v>
      </c>
      <c r="D25" s="139" t="str">
        <f>+C25</f>
        <v>Forfait mensuel</v>
      </c>
    </row>
    <row r="26" spans="2:12" ht="13.5" thickBot="1" x14ac:dyDescent="0.25">
      <c r="B26" s="123" t="s">
        <v>241</v>
      </c>
      <c r="C26" s="142" t="s">
        <v>243</v>
      </c>
      <c r="D26" s="142" t="s">
        <v>243</v>
      </c>
      <c r="E26" s="181"/>
      <c r="F26" s="181"/>
      <c r="G26" s="181"/>
    </row>
    <row r="27" spans="2:12" x14ac:dyDescent="0.2">
      <c r="B27" s="140" t="s">
        <v>244</v>
      </c>
      <c r="C27" s="143">
        <v>1.7531147004511349</v>
      </c>
      <c r="D27" s="143">
        <f>+ROUNDDOWN(C27/$C$24*$D$24,2)</f>
        <v>16.97</v>
      </c>
      <c r="E27" s="181">
        <v>0</v>
      </c>
      <c r="F27" s="181">
        <v>50</v>
      </c>
      <c r="G27" s="195"/>
    </row>
    <row r="28" spans="2:12" x14ac:dyDescent="0.2">
      <c r="B28" s="140" t="s">
        <v>245</v>
      </c>
      <c r="C28" s="143">
        <v>2.3374862672681798</v>
      </c>
      <c r="D28" s="143">
        <f t="shared" ref="D28:D33" si="4">+ROUNDDOWN(C28/$C$24*$D$24,2)</f>
        <v>22.62</v>
      </c>
      <c r="E28" s="181">
        <v>51</v>
      </c>
      <c r="F28" s="181">
        <v>70</v>
      </c>
      <c r="G28" s="195"/>
    </row>
    <row r="29" spans="2:12" x14ac:dyDescent="0.2">
      <c r="B29" s="140" t="s">
        <v>246</v>
      </c>
      <c r="C29" s="143">
        <v>2.9218578340852246</v>
      </c>
      <c r="D29" s="143">
        <f t="shared" si="4"/>
        <v>28.28</v>
      </c>
      <c r="E29" s="181">
        <f>+F28+1</f>
        <v>71</v>
      </c>
      <c r="F29" s="181">
        <v>90</v>
      </c>
      <c r="G29" s="195"/>
    </row>
    <row r="30" spans="2:12" x14ac:dyDescent="0.2">
      <c r="B30" s="140" t="s">
        <v>247</v>
      </c>
      <c r="C30" s="143">
        <v>3.5062294009022699</v>
      </c>
      <c r="D30" s="143">
        <f t="shared" si="4"/>
        <v>33.94</v>
      </c>
      <c r="E30" s="181">
        <f t="shared" ref="E30:E33" si="5">+F29+1</f>
        <v>91</v>
      </c>
      <c r="F30" s="181">
        <v>110</v>
      </c>
      <c r="G30" s="195"/>
    </row>
    <row r="31" spans="2:12" x14ac:dyDescent="0.2">
      <c r="B31" s="140" t="s">
        <v>248</v>
      </c>
      <c r="C31" s="143">
        <v>4.0906009677193147</v>
      </c>
      <c r="D31" s="143">
        <f t="shared" si="4"/>
        <v>39.590000000000003</v>
      </c>
      <c r="E31" s="181">
        <f t="shared" si="5"/>
        <v>111</v>
      </c>
      <c r="F31" s="181">
        <v>130</v>
      </c>
      <c r="G31" s="195"/>
    </row>
    <row r="32" spans="2:12" x14ac:dyDescent="0.2">
      <c r="B32" s="140" t="s">
        <v>249</v>
      </c>
      <c r="C32" s="143">
        <v>4.6749725345363595</v>
      </c>
      <c r="D32" s="143">
        <f t="shared" si="4"/>
        <v>45.25</v>
      </c>
      <c r="E32" s="181">
        <f t="shared" si="5"/>
        <v>131</v>
      </c>
      <c r="F32" s="181">
        <v>150</v>
      </c>
      <c r="G32" s="195"/>
    </row>
    <row r="33" spans="2:7" ht="13.5" thickBot="1" x14ac:dyDescent="0.25">
      <c r="B33" s="141" t="s">
        <v>250</v>
      </c>
      <c r="C33" s="144">
        <v>5.2593441013534044</v>
      </c>
      <c r="D33" s="144">
        <f t="shared" si="4"/>
        <v>50.91</v>
      </c>
      <c r="E33" s="181">
        <f t="shared" si="5"/>
        <v>151</v>
      </c>
      <c r="F33" s="181"/>
      <c r="G33" s="195"/>
    </row>
    <row r="34" spans="2:7" x14ac:dyDescent="0.2">
      <c r="E34" s="181"/>
      <c r="F34" s="181"/>
      <c r="G34" s="181"/>
    </row>
    <row r="36" spans="2:7" x14ac:dyDescent="0.2">
      <c r="B36" s="121" t="s">
        <v>80</v>
      </c>
    </row>
    <row r="37" spans="2:7" ht="13.5" thickBot="1" x14ac:dyDescent="0.25"/>
    <row r="38" spans="2:7" ht="15" customHeight="1" thickBot="1" x14ac:dyDescent="0.25">
      <c r="B38" s="354" t="s">
        <v>78</v>
      </c>
      <c r="C38" s="129" t="s">
        <v>87</v>
      </c>
    </row>
    <row r="39" spans="2:7" x14ac:dyDescent="0.2">
      <c r="B39" s="355"/>
      <c r="C39" s="124" t="s">
        <v>88</v>
      </c>
      <c r="D39" s="124" t="s">
        <v>88</v>
      </c>
    </row>
    <row r="40" spans="2:7" x14ac:dyDescent="0.2">
      <c r="B40" s="355"/>
      <c r="C40" s="125" t="s">
        <v>62</v>
      </c>
      <c r="D40" s="125" t="s">
        <v>318</v>
      </c>
    </row>
    <row r="41" spans="2:7" ht="13.5" thickBot="1" x14ac:dyDescent="0.25">
      <c r="B41" s="356"/>
      <c r="C41" s="126" t="s">
        <v>317</v>
      </c>
      <c r="D41" s="126" t="s">
        <v>317</v>
      </c>
    </row>
    <row r="42" spans="2:7" x14ac:dyDescent="0.2">
      <c r="B42" s="122" t="s">
        <v>70</v>
      </c>
      <c r="C42" s="127">
        <f>+D42/12</f>
        <v>394.66666666666669</v>
      </c>
      <c r="D42" s="127">
        <v>4736</v>
      </c>
    </row>
    <row r="43" spans="2:7" x14ac:dyDescent="0.2">
      <c r="B43" s="122" t="s">
        <v>81</v>
      </c>
      <c r="C43" s="127">
        <f t="shared" ref="C43:C48" si="6">+D43/12</f>
        <v>592</v>
      </c>
      <c r="D43" s="127">
        <v>7104</v>
      </c>
    </row>
    <row r="44" spans="2:7" x14ac:dyDescent="0.2">
      <c r="B44" s="122" t="s">
        <v>82</v>
      </c>
      <c r="C44" s="127">
        <f t="shared" si="6"/>
        <v>749.83333333333337</v>
      </c>
      <c r="D44" s="127">
        <v>8998</v>
      </c>
    </row>
    <row r="45" spans="2:7" x14ac:dyDescent="0.2">
      <c r="B45" s="122" t="s">
        <v>83</v>
      </c>
      <c r="C45" s="127">
        <f t="shared" si="6"/>
        <v>907.75</v>
      </c>
      <c r="D45" s="127">
        <v>10893</v>
      </c>
    </row>
    <row r="46" spans="2:7" x14ac:dyDescent="0.2">
      <c r="B46" s="122" t="s">
        <v>84</v>
      </c>
      <c r="C46" s="127">
        <f t="shared" si="6"/>
        <v>1065.5833333333333</v>
      </c>
      <c r="D46" s="127">
        <v>12787</v>
      </c>
    </row>
    <row r="47" spans="2:7" x14ac:dyDescent="0.2">
      <c r="B47" s="122" t="s">
        <v>85</v>
      </c>
      <c r="C47" s="127">
        <f t="shared" si="6"/>
        <v>118.41666666666667</v>
      </c>
      <c r="D47" s="127">
        <v>1421</v>
      </c>
    </row>
    <row r="48" spans="2:7" ht="13.5" thickBot="1" x14ac:dyDescent="0.25">
      <c r="B48" s="123" t="s">
        <v>86</v>
      </c>
      <c r="C48" s="128">
        <f t="shared" si="6"/>
        <v>157.83333333333334</v>
      </c>
      <c r="D48" s="128">
        <v>1894</v>
      </c>
    </row>
    <row r="50" spans="2:2" x14ac:dyDescent="0.2">
      <c r="B50" s="115" t="s">
        <v>93</v>
      </c>
    </row>
  </sheetData>
  <mergeCells count="3">
    <mergeCell ref="B6:B8"/>
    <mergeCell ref="B38:B41"/>
    <mergeCell ref="H6:H8"/>
  </mergeCells>
  <pageMargins left="0.7" right="0.7" top="0.75" bottom="0.75" header="0.3" footer="0.3"/>
  <pageSetup paperSize="9"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2:X93"/>
  <sheetViews>
    <sheetView showGridLines="0" topLeftCell="A51" zoomScale="85" zoomScaleNormal="85" workbookViewId="0">
      <selection activeCell="M76" sqref="M76:P76"/>
    </sheetView>
  </sheetViews>
  <sheetFormatPr defaultColWidth="9.5703125" defaultRowHeight="12.75" x14ac:dyDescent="0.2"/>
  <cols>
    <col min="1" max="2" width="7.5703125" style="235" customWidth="1"/>
    <col min="3" max="13" width="8.42578125" style="235" customWidth="1"/>
    <col min="14" max="14" width="8.5703125" style="235" customWidth="1"/>
    <col min="15" max="15" width="8.42578125" style="235" customWidth="1"/>
    <col min="16" max="16" width="9.42578125" style="235" customWidth="1"/>
    <col min="17" max="256" width="9.5703125" style="235"/>
    <col min="257" max="258" width="7.5703125" style="235" customWidth="1"/>
    <col min="259" max="269" width="8.42578125" style="235" customWidth="1"/>
    <col min="270" max="270" width="8.5703125" style="235" customWidth="1"/>
    <col min="271" max="271" width="8.42578125" style="235" customWidth="1"/>
    <col min="272" max="272" width="9.42578125" style="235" customWidth="1"/>
    <col min="273" max="512" width="9.5703125" style="235"/>
    <col min="513" max="514" width="7.5703125" style="235" customWidth="1"/>
    <col min="515" max="525" width="8.42578125" style="235" customWidth="1"/>
    <col min="526" max="526" width="8.5703125" style="235" customWidth="1"/>
    <col min="527" max="527" width="8.42578125" style="235" customWidth="1"/>
    <col min="528" max="528" width="9.42578125" style="235" customWidth="1"/>
    <col min="529" max="768" width="9.5703125" style="235"/>
    <col min="769" max="770" width="7.5703125" style="235" customWidth="1"/>
    <col min="771" max="781" width="8.42578125" style="235" customWidth="1"/>
    <col min="782" max="782" width="8.5703125" style="235" customWidth="1"/>
    <col min="783" max="783" width="8.42578125" style="235" customWidth="1"/>
    <col min="784" max="784" width="9.42578125" style="235" customWidth="1"/>
    <col min="785" max="1024" width="9.5703125" style="235"/>
    <col min="1025" max="1026" width="7.5703125" style="235" customWidth="1"/>
    <col min="1027" max="1037" width="8.42578125" style="235" customWidth="1"/>
    <col min="1038" max="1038" width="8.5703125" style="235" customWidth="1"/>
    <col min="1039" max="1039" width="8.42578125" style="235" customWidth="1"/>
    <col min="1040" max="1040" width="9.42578125" style="235" customWidth="1"/>
    <col min="1041" max="1280" width="9.5703125" style="235"/>
    <col min="1281" max="1282" width="7.5703125" style="235" customWidth="1"/>
    <col min="1283" max="1293" width="8.42578125" style="235" customWidth="1"/>
    <col min="1294" max="1294" width="8.5703125" style="235" customWidth="1"/>
    <col min="1295" max="1295" width="8.42578125" style="235" customWidth="1"/>
    <col min="1296" max="1296" width="9.42578125" style="235" customWidth="1"/>
    <col min="1297" max="1536" width="9.5703125" style="235"/>
    <col min="1537" max="1538" width="7.5703125" style="235" customWidth="1"/>
    <col min="1539" max="1549" width="8.42578125" style="235" customWidth="1"/>
    <col min="1550" max="1550" width="8.5703125" style="235" customWidth="1"/>
    <col min="1551" max="1551" width="8.42578125" style="235" customWidth="1"/>
    <col min="1552" max="1552" width="9.42578125" style="235" customWidth="1"/>
    <col min="1553" max="1792" width="9.5703125" style="235"/>
    <col min="1793" max="1794" width="7.5703125" style="235" customWidth="1"/>
    <col min="1795" max="1805" width="8.42578125" style="235" customWidth="1"/>
    <col min="1806" max="1806" width="8.5703125" style="235" customWidth="1"/>
    <col min="1807" max="1807" width="8.42578125" style="235" customWidth="1"/>
    <col min="1808" max="1808" width="9.42578125" style="235" customWidth="1"/>
    <col min="1809" max="2048" width="9.5703125" style="235"/>
    <col min="2049" max="2050" width="7.5703125" style="235" customWidth="1"/>
    <col min="2051" max="2061" width="8.42578125" style="235" customWidth="1"/>
    <col min="2062" max="2062" width="8.5703125" style="235" customWidth="1"/>
    <col min="2063" max="2063" width="8.42578125" style="235" customWidth="1"/>
    <col min="2064" max="2064" width="9.42578125" style="235" customWidth="1"/>
    <col min="2065" max="2304" width="9.5703125" style="235"/>
    <col min="2305" max="2306" width="7.5703125" style="235" customWidth="1"/>
    <col min="2307" max="2317" width="8.42578125" style="235" customWidth="1"/>
    <col min="2318" max="2318" width="8.5703125" style="235" customWidth="1"/>
    <col min="2319" max="2319" width="8.42578125" style="235" customWidth="1"/>
    <col min="2320" max="2320" width="9.42578125" style="235" customWidth="1"/>
    <col min="2321" max="2560" width="9.5703125" style="235"/>
    <col min="2561" max="2562" width="7.5703125" style="235" customWidth="1"/>
    <col min="2563" max="2573" width="8.42578125" style="235" customWidth="1"/>
    <col min="2574" max="2574" width="8.5703125" style="235" customWidth="1"/>
    <col min="2575" max="2575" width="8.42578125" style="235" customWidth="1"/>
    <col min="2576" max="2576" width="9.42578125" style="235" customWidth="1"/>
    <col min="2577" max="2816" width="9.5703125" style="235"/>
    <col min="2817" max="2818" width="7.5703125" style="235" customWidth="1"/>
    <col min="2819" max="2829" width="8.42578125" style="235" customWidth="1"/>
    <col min="2830" max="2830" width="8.5703125" style="235" customWidth="1"/>
    <col min="2831" max="2831" width="8.42578125" style="235" customWidth="1"/>
    <col min="2832" max="2832" width="9.42578125" style="235" customWidth="1"/>
    <col min="2833" max="3072" width="9.5703125" style="235"/>
    <col min="3073" max="3074" width="7.5703125" style="235" customWidth="1"/>
    <col min="3075" max="3085" width="8.42578125" style="235" customWidth="1"/>
    <col min="3086" max="3086" width="8.5703125" style="235" customWidth="1"/>
    <col min="3087" max="3087" width="8.42578125" style="235" customWidth="1"/>
    <col min="3088" max="3088" width="9.42578125" style="235" customWidth="1"/>
    <col min="3089" max="3328" width="9.5703125" style="235"/>
    <col min="3329" max="3330" width="7.5703125" style="235" customWidth="1"/>
    <col min="3331" max="3341" width="8.42578125" style="235" customWidth="1"/>
    <col min="3342" max="3342" width="8.5703125" style="235" customWidth="1"/>
    <col min="3343" max="3343" width="8.42578125" style="235" customWidth="1"/>
    <col min="3344" max="3344" width="9.42578125" style="235" customWidth="1"/>
    <col min="3345" max="3584" width="9.5703125" style="235"/>
    <col min="3585" max="3586" width="7.5703125" style="235" customWidth="1"/>
    <col min="3587" max="3597" width="8.42578125" style="235" customWidth="1"/>
    <col min="3598" max="3598" width="8.5703125" style="235" customWidth="1"/>
    <col min="3599" max="3599" width="8.42578125" style="235" customWidth="1"/>
    <col min="3600" max="3600" width="9.42578125" style="235" customWidth="1"/>
    <col min="3601" max="3840" width="9.5703125" style="235"/>
    <col min="3841" max="3842" width="7.5703125" style="235" customWidth="1"/>
    <col min="3843" max="3853" width="8.42578125" style="235" customWidth="1"/>
    <col min="3854" max="3854" width="8.5703125" style="235" customWidth="1"/>
    <col min="3855" max="3855" width="8.42578125" style="235" customWidth="1"/>
    <col min="3856" max="3856" width="9.42578125" style="235" customWidth="1"/>
    <col min="3857" max="4096" width="9.5703125" style="235"/>
    <col min="4097" max="4098" width="7.5703125" style="235" customWidth="1"/>
    <col min="4099" max="4109" width="8.42578125" style="235" customWidth="1"/>
    <col min="4110" max="4110" width="8.5703125" style="235" customWidth="1"/>
    <col min="4111" max="4111" width="8.42578125" style="235" customWidth="1"/>
    <col min="4112" max="4112" width="9.42578125" style="235" customWidth="1"/>
    <col min="4113" max="4352" width="9.5703125" style="235"/>
    <col min="4353" max="4354" width="7.5703125" style="235" customWidth="1"/>
    <col min="4355" max="4365" width="8.42578125" style="235" customWidth="1"/>
    <col min="4366" max="4366" width="8.5703125" style="235" customWidth="1"/>
    <col min="4367" max="4367" width="8.42578125" style="235" customWidth="1"/>
    <col min="4368" max="4368" width="9.42578125" style="235" customWidth="1"/>
    <col min="4369" max="4608" width="9.5703125" style="235"/>
    <col min="4609" max="4610" width="7.5703125" style="235" customWidth="1"/>
    <col min="4611" max="4621" width="8.42578125" style="235" customWidth="1"/>
    <col min="4622" max="4622" width="8.5703125" style="235" customWidth="1"/>
    <col min="4623" max="4623" width="8.42578125" style="235" customWidth="1"/>
    <col min="4624" max="4624" width="9.42578125" style="235" customWidth="1"/>
    <col min="4625" max="4864" width="9.5703125" style="235"/>
    <col min="4865" max="4866" width="7.5703125" style="235" customWidth="1"/>
    <col min="4867" max="4877" width="8.42578125" style="235" customWidth="1"/>
    <col min="4878" max="4878" width="8.5703125" style="235" customWidth="1"/>
    <col min="4879" max="4879" width="8.42578125" style="235" customWidth="1"/>
    <col min="4880" max="4880" width="9.42578125" style="235" customWidth="1"/>
    <col min="4881" max="5120" width="9.5703125" style="235"/>
    <col min="5121" max="5122" width="7.5703125" style="235" customWidth="1"/>
    <col min="5123" max="5133" width="8.42578125" style="235" customWidth="1"/>
    <col min="5134" max="5134" width="8.5703125" style="235" customWidth="1"/>
    <col min="5135" max="5135" width="8.42578125" style="235" customWidth="1"/>
    <col min="5136" max="5136" width="9.42578125" style="235" customWidth="1"/>
    <col min="5137" max="5376" width="9.5703125" style="235"/>
    <col min="5377" max="5378" width="7.5703125" style="235" customWidth="1"/>
    <col min="5379" max="5389" width="8.42578125" style="235" customWidth="1"/>
    <col min="5390" max="5390" width="8.5703125" style="235" customWidth="1"/>
    <col min="5391" max="5391" width="8.42578125" style="235" customWidth="1"/>
    <col min="5392" max="5392" width="9.42578125" style="235" customWidth="1"/>
    <col min="5393" max="5632" width="9.5703125" style="235"/>
    <col min="5633" max="5634" width="7.5703125" style="235" customWidth="1"/>
    <col min="5635" max="5645" width="8.42578125" style="235" customWidth="1"/>
    <col min="5646" max="5646" width="8.5703125" style="235" customWidth="1"/>
    <col min="5647" max="5647" width="8.42578125" style="235" customWidth="1"/>
    <col min="5648" max="5648" width="9.42578125" style="235" customWidth="1"/>
    <col min="5649" max="5888" width="9.5703125" style="235"/>
    <col min="5889" max="5890" width="7.5703125" style="235" customWidth="1"/>
    <col min="5891" max="5901" width="8.42578125" style="235" customWidth="1"/>
    <col min="5902" max="5902" width="8.5703125" style="235" customWidth="1"/>
    <col min="5903" max="5903" width="8.42578125" style="235" customWidth="1"/>
    <col min="5904" max="5904" width="9.42578125" style="235" customWidth="1"/>
    <col min="5905" max="6144" width="9.5703125" style="235"/>
    <col min="6145" max="6146" width="7.5703125" style="235" customWidth="1"/>
    <col min="6147" max="6157" width="8.42578125" style="235" customWidth="1"/>
    <col min="6158" max="6158" width="8.5703125" style="235" customWidth="1"/>
    <col min="6159" max="6159" width="8.42578125" style="235" customWidth="1"/>
    <col min="6160" max="6160" width="9.42578125" style="235" customWidth="1"/>
    <col min="6161" max="6400" width="9.5703125" style="235"/>
    <col min="6401" max="6402" width="7.5703125" style="235" customWidth="1"/>
    <col min="6403" max="6413" width="8.42578125" style="235" customWidth="1"/>
    <col min="6414" max="6414" width="8.5703125" style="235" customWidth="1"/>
    <col min="6415" max="6415" width="8.42578125" style="235" customWidth="1"/>
    <col min="6416" max="6416" width="9.42578125" style="235" customWidth="1"/>
    <col min="6417" max="6656" width="9.5703125" style="235"/>
    <col min="6657" max="6658" width="7.5703125" style="235" customWidth="1"/>
    <col min="6659" max="6669" width="8.42578125" style="235" customWidth="1"/>
    <col min="6670" max="6670" width="8.5703125" style="235" customWidth="1"/>
    <col min="6671" max="6671" width="8.42578125" style="235" customWidth="1"/>
    <col min="6672" max="6672" width="9.42578125" style="235" customWidth="1"/>
    <col min="6673" max="6912" width="9.5703125" style="235"/>
    <col min="6913" max="6914" width="7.5703125" style="235" customWidth="1"/>
    <col min="6915" max="6925" width="8.42578125" style="235" customWidth="1"/>
    <col min="6926" max="6926" width="8.5703125" style="235" customWidth="1"/>
    <col min="6927" max="6927" width="8.42578125" style="235" customWidth="1"/>
    <col min="6928" max="6928" width="9.42578125" style="235" customWidth="1"/>
    <col min="6929" max="7168" width="9.5703125" style="235"/>
    <col min="7169" max="7170" width="7.5703125" style="235" customWidth="1"/>
    <col min="7171" max="7181" width="8.42578125" style="235" customWidth="1"/>
    <col min="7182" max="7182" width="8.5703125" style="235" customWidth="1"/>
    <col min="7183" max="7183" width="8.42578125" style="235" customWidth="1"/>
    <col min="7184" max="7184" width="9.42578125" style="235" customWidth="1"/>
    <col min="7185" max="7424" width="9.5703125" style="235"/>
    <col min="7425" max="7426" width="7.5703125" style="235" customWidth="1"/>
    <col min="7427" max="7437" width="8.42578125" style="235" customWidth="1"/>
    <col min="7438" max="7438" width="8.5703125" style="235" customWidth="1"/>
    <col min="7439" max="7439" width="8.42578125" style="235" customWidth="1"/>
    <col min="7440" max="7440" width="9.42578125" style="235" customWidth="1"/>
    <col min="7441" max="7680" width="9.5703125" style="235"/>
    <col min="7681" max="7682" width="7.5703125" style="235" customWidth="1"/>
    <col min="7683" max="7693" width="8.42578125" style="235" customWidth="1"/>
    <col min="7694" max="7694" width="8.5703125" style="235" customWidth="1"/>
    <col min="7695" max="7695" width="8.42578125" style="235" customWidth="1"/>
    <col min="7696" max="7696" width="9.42578125" style="235" customWidth="1"/>
    <col min="7697" max="7936" width="9.5703125" style="235"/>
    <col min="7937" max="7938" width="7.5703125" style="235" customWidth="1"/>
    <col min="7939" max="7949" width="8.42578125" style="235" customWidth="1"/>
    <col min="7950" max="7950" width="8.5703125" style="235" customWidth="1"/>
    <col min="7951" max="7951" width="8.42578125" style="235" customWidth="1"/>
    <col min="7952" max="7952" width="9.42578125" style="235" customWidth="1"/>
    <col min="7953" max="8192" width="9.5703125" style="235"/>
    <col min="8193" max="8194" width="7.5703125" style="235" customWidth="1"/>
    <col min="8195" max="8205" width="8.42578125" style="235" customWidth="1"/>
    <col min="8206" max="8206" width="8.5703125" style="235" customWidth="1"/>
    <col min="8207" max="8207" width="8.42578125" style="235" customWidth="1"/>
    <col min="8208" max="8208" width="9.42578125" style="235" customWidth="1"/>
    <col min="8209" max="8448" width="9.5703125" style="235"/>
    <col min="8449" max="8450" width="7.5703125" style="235" customWidth="1"/>
    <col min="8451" max="8461" width="8.42578125" style="235" customWidth="1"/>
    <col min="8462" max="8462" width="8.5703125" style="235" customWidth="1"/>
    <col min="8463" max="8463" width="8.42578125" style="235" customWidth="1"/>
    <col min="8464" max="8464" width="9.42578125" style="235" customWidth="1"/>
    <col min="8465" max="8704" width="9.5703125" style="235"/>
    <col min="8705" max="8706" width="7.5703125" style="235" customWidth="1"/>
    <col min="8707" max="8717" width="8.42578125" style="235" customWidth="1"/>
    <col min="8718" max="8718" width="8.5703125" style="235" customWidth="1"/>
    <col min="8719" max="8719" width="8.42578125" style="235" customWidth="1"/>
    <col min="8720" max="8720" width="9.42578125" style="235" customWidth="1"/>
    <col min="8721" max="8960" width="9.5703125" style="235"/>
    <col min="8961" max="8962" width="7.5703125" style="235" customWidth="1"/>
    <col min="8963" max="8973" width="8.42578125" style="235" customWidth="1"/>
    <col min="8974" max="8974" width="8.5703125" style="235" customWidth="1"/>
    <col min="8975" max="8975" width="8.42578125" style="235" customWidth="1"/>
    <col min="8976" max="8976" width="9.42578125" style="235" customWidth="1"/>
    <col min="8977" max="9216" width="9.5703125" style="235"/>
    <col min="9217" max="9218" width="7.5703125" style="235" customWidth="1"/>
    <col min="9219" max="9229" width="8.42578125" style="235" customWidth="1"/>
    <col min="9230" max="9230" width="8.5703125" style="235" customWidth="1"/>
    <col min="9231" max="9231" width="8.42578125" style="235" customWidth="1"/>
    <col min="9232" max="9232" width="9.42578125" style="235" customWidth="1"/>
    <col min="9233" max="9472" width="9.5703125" style="235"/>
    <col min="9473" max="9474" width="7.5703125" style="235" customWidth="1"/>
    <col min="9475" max="9485" width="8.42578125" style="235" customWidth="1"/>
    <col min="9486" max="9486" width="8.5703125" style="235" customWidth="1"/>
    <col min="9487" max="9487" width="8.42578125" style="235" customWidth="1"/>
    <col min="9488" max="9488" width="9.42578125" style="235" customWidth="1"/>
    <col min="9489" max="9728" width="9.5703125" style="235"/>
    <col min="9729" max="9730" width="7.5703125" style="235" customWidth="1"/>
    <col min="9731" max="9741" width="8.42578125" style="235" customWidth="1"/>
    <col min="9742" max="9742" width="8.5703125" style="235" customWidth="1"/>
    <col min="9743" max="9743" width="8.42578125" style="235" customWidth="1"/>
    <col min="9744" max="9744" width="9.42578125" style="235" customWidth="1"/>
    <col min="9745" max="9984" width="9.5703125" style="235"/>
    <col min="9985" max="9986" width="7.5703125" style="235" customWidth="1"/>
    <col min="9987" max="9997" width="8.42578125" style="235" customWidth="1"/>
    <col min="9998" max="9998" width="8.5703125" style="235" customWidth="1"/>
    <col min="9999" max="9999" width="8.42578125" style="235" customWidth="1"/>
    <col min="10000" max="10000" width="9.42578125" style="235" customWidth="1"/>
    <col min="10001" max="10240" width="9.5703125" style="235"/>
    <col min="10241" max="10242" width="7.5703125" style="235" customWidth="1"/>
    <col min="10243" max="10253" width="8.42578125" style="235" customWidth="1"/>
    <col min="10254" max="10254" width="8.5703125" style="235" customWidth="1"/>
    <col min="10255" max="10255" width="8.42578125" style="235" customWidth="1"/>
    <col min="10256" max="10256" width="9.42578125" style="235" customWidth="1"/>
    <col min="10257" max="10496" width="9.5703125" style="235"/>
    <col min="10497" max="10498" width="7.5703125" style="235" customWidth="1"/>
    <col min="10499" max="10509" width="8.42578125" style="235" customWidth="1"/>
    <col min="10510" max="10510" width="8.5703125" style="235" customWidth="1"/>
    <col min="10511" max="10511" width="8.42578125" style="235" customWidth="1"/>
    <col min="10512" max="10512" width="9.42578125" style="235" customWidth="1"/>
    <col min="10513" max="10752" width="9.5703125" style="235"/>
    <col min="10753" max="10754" width="7.5703125" style="235" customWidth="1"/>
    <col min="10755" max="10765" width="8.42578125" style="235" customWidth="1"/>
    <col min="10766" max="10766" width="8.5703125" style="235" customWidth="1"/>
    <col min="10767" max="10767" width="8.42578125" style="235" customWidth="1"/>
    <col min="10768" max="10768" width="9.42578125" style="235" customWidth="1"/>
    <col min="10769" max="11008" width="9.5703125" style="235"/>
    <col min="11009" max="11010" width="7.5703125" style="235" customWidth="1"/>
    <col min="11011" max="11021" width="8.42578125" style="235" customWidth="1"/>
    <col min="11022" max="11022" width="8.5703125" style="235" customWidth="1"/>
    <col min="11023" max="11023" width="8.42578125" style="235" customWidth="1"/>
    <col min="11024" max="11024" width="9.42578125" style="235" customWidth="1"/>
    <col min="11025" max="11264" width="9.5703125" style="235"/>
    <col min="11265" max="11266" width="7.5703125" style="235" customWidth="1"/>
    <col min="11267" max="11277" width="8.42578125" style="235" customWidth="1"/>
    <col min="11278" max="11278" width="8.5703125" style="235" customWidth="1"/>
    <col min="11279" max="11279" width="8.42578125" style="235" customWidth="1"/>
    <col min="11280" max="11280" width="9.42578125" style="235" customWidth="1"/>
    <col min="11281" max="11520" width="9.5703125" style="235"/>
    <col min="11521" max="11522" width="7.5703125" style="235" customWidth="1"/>
    <col min="11523" max="11533" width="8.42578125" style="235" customWidth="1"/>
    <col min="11534" max="11534" width="8.5703125" style="235" customWidth="1"/>
    <col min="11535" max="11535" width="8.42578125" style="235" customWidth="1"/>
    <col min="11536" max="11536" width="9.42578125" style="235" customWidth="1"/>
    <col min="11537" max="11776" width="9.5703125" style="235"/>
    <col min="11777" max="11778" width="7.5703125" style="235" customWidth="1"/>
    <col min="11779" max="11789" width="8.42578125" style="235" customWidth="1"/>
    <col min="11790" max="11790" width="8.5703125" style="235" customWidth="1"/>
    <col min="11791" max="11791" width="8.42578125" style="235" customWidth="1"/>
    <col min="11792" max="11792" width="9.42578125" style="235" customWidth="1"/>
    <col min="11793" max="12032" width="9.5703125" style="235"/>
    <col min="12033" max="12034" width="7.5703125" style="235" customWidth="1"/>
    <col min="12035" max="12045" width="8.42578125" style="235" customWidth="1"/>
    <col min="12046" max="12046" width="8.5703125" style="235" customWidth="1"/>
    <col min="12047" max="12047" width="8.42578125" style="235" customWidth="1"/>
    <col min="12048" max="12048" width="9.42578125" style="235" customWidth="1"/>
    <col min="12049" max="12288" width="9.5703125" style="235"/>
    <col min="12289" max="12290" width="7.5703125" style="235" customWidth="1"/>
    <col min="12291" max="12301" width="8.42578125" style="235" customWidth="1"/>
    <col min="12302" max="12302" width="8.5703125" style="235" customWidth="1"/>
    <col min="12303" max="12303" width="8.42578125" style="235" customWidth="1"/>
    <col min="12304" max="12304" width="9.42578125" style="235" customWidth="1"/>
    <col min="12305" max="12544" width="9.5703125" style="235"/>
    <col min="12545" max="12546" width="7.5703125" style="235" customWidth="1"/>
    <col min="12547" max="12557" width="8.42578125" style="235" customWidth="1"/>
    <col min="12558" max="12558" width="8.5703125" style="235" customWidth="1"/>
    <col min="12559" max="12559" width="8.42578125" style="235" customWidth="1"/>
    <col min="12560" max="12560" width="9.42578125" style="235" customWidth="1"/>
    <col min="12561" max="12800" width="9.5703125" style="235"/>
    <col min="12801" max="12802" width="7.5703125" style="235" customWidth="1"/>
    <col min="12803" max="12813" width="8.42578125" style="235" customWidth="1"/>
    <col min="12814" max="12814" width="8.5703125" style="235" customWidth="1"/>
    <col min="12815" max="12815" width="8.42578125" style="235" customWidth="1"/>
    <col min="12816" max="12816" width="9.42578125" style="235" customWidth="1"/>
    <col min="12817" max="13056" width="9.5703125" style="235"/>
    <col min="13057" max="13058" width="7.5703125" style="235" customWidth="1"/>
    <col min="13059" max="13069" width="8.42578125" style="235" customWidth="1"/>
    <col min="13070" max="13070" width="8.5703125" style="235" customWidth="1"/>
    <col min="13071" max="13071" width="8.42578125" style="235" customWidth="1"/>
    <col min="13072" max="13072" width="9.42578125" style="235" customWidth="1"/>
    <col min="13073" max="13312" width="9.5703125" style="235"/>
    <col min="13313" max="13314" width="7.5703125" style="235" customWidth="1"/>
    <col min="13315" max="13325" width="8.42578125" style="235" customWidth="1"/>
    <col min="13326" max="13326" width="8.5703125" style="235" customWidth="1"/>
    <col min="13327" max="13327" width="8.42578125" style="235" customWidth="1"/>
    <col min="13328" max="13328" width="9.42578125" style="235" customWidth="1"/>
    <col min="13329" max="13568" width="9.5703125" style="235"/>
    <col min="13569" max="13570" width="7.5703125" style="235" customWidth="1"/>
    <col min="13571" max="13581" width="8.42578125" style="235" customWidth="1"/>
    <col min="13582" max="13582" width="8.5703125" style="235" customWidth="1"/>
    <col min="13583" max="13583" width="8.42578125" style="235" customWidth="1"/>
    <col min="13584" max="13584" width="9.42578125" style="235" customWidth="1"/>
    <col min="13585" max="13824" width="9.5703125" style="235"/>
    <col min="13825" max="13826" width="7.5703125" style="235" customWidth="1"/>
    <col min="13827" max="13837" width="8.42578125" style="235" customWidth="1"/>
    <col min="13838" max="13838" width="8.5703125" style="235" customWidth="1"/>
    <col min="13839" max="13839" width="8.42578125" style="235" customWidth="1"/>
    <col min="13840" max="13840" width="9.42578125" style="235" customWidth="1"/>
    <col min="13841" max="14080" width="9.5703125" style="235"/>
    <col min="14081" max="14082" width="7.5703125" style="235" customWidth="1"/>
    <col min="14083" max="14093" width="8.42578125" style="235" customWidth="1"/>
    <col min="14094" max="14094" width="8.5703125" style="235" customWidth="1"/>
    <col min="14095" max="14095" width="8.42578125" style="235" customWidth="1"/>
    <col min="14096" max="14096" width="9.42578125" style="235" customWidth="1"/>
    <col min="14097" max="14336" width="9.5703125" style="235"/>
    <col min="14337" max="14338" width="7.5703125" style="235" customWidth="1"/>
    <col min="14339" max="14349" width="8.42578125" style="235" customWidth="1"/>
    <col min="14350" max="14350" width="8.5703125" style="235" customWidth="1"/>
    <col min="14351" max="14351" width="8.42578125" style="235" customWidth="1"/>
    <col min="14352" max="14352" width="9.42578125" style="235" customWidth="1"/>
    <col min="14353" max="14592" width="9.5703125" style="235"/>
    <col min="14593" max="14594" width="7.5703125" style="235" customWidth="1"/>
    <col min="14595" max="14605" width="8.42578125" style="235" customWidth="1"/>
    <col min="14606" max="14606" width="8.5703125" style="235" customWidth="1"/>
    <col min="14607" max="14607" width="8.42578125" style="235" customWidth="1"/>
    <col min="14608" max="14608" width="9.42578125" style="235" customWidth="1"/>
    <col min="14609" max="14848" width="9.5703125" style="235"/>
    <col min="14849" max="14850" width="7.5703125" style="235" customWidth="1"/>
    <col min="14851" max="14861" width="8.42578125" style="235" customWidth="1"/>
    <col min="14862" max="14862" width="8.5703125" style="235" customWidth="1"/>
    <col min="14863" max="14863" width="8.42578125" style="235" customWidth="1"/>
    <col min="14864" max="14864" width="9.42578125" style="235" customWidth="1"/>
    <col min="14865" max="15104" width="9.5703125" style="235"/>
    <col min="15105" max="15106" width="7.5703125" style="235" customWidth="1"/>
    <col min="15107" max="15117" width="8.42578125" style="235" customWidth="1"/>
    <col min="15118" max="15118" width="8.5703125" style="235" customWidth="1"/>
    <col min="15119" max="15119" width="8.42578125" style="235" customWidth="1"/>
    <col min="15120" max="15120" width="9.42578125" style="235" customWidth="1"/>
    <col min="15121" max="15360" width="9.5703125" style="235"/>
    <col min="15361" max="15362" width="7.5703125" style="235" customWidth="1"/>
    <col min="15363" max="15373" width="8.42578125" style="235" customWidth="1"/>
    <col min="15374" max="15374" width="8.5703125" style="235" customWidth="1"/>
    <col min="15375" max="15375" width="8.42578125" style="235" customWidth="1"/>
    <col min="15376" max="15376" width="9.42578125" style="235" customWidth="1"/>
    <col min="15377" max="15616" width="9.5703125" style="235"/>
    <col min="15617" max="15618" width="7.5703125" style="235" customWidth="1"/>
    <col min="15619" max="15629" width="8.42578125" style="235" customWidth="1"/>
    <col min="15630" max="15630" width="8.5703125" style="235" customWidth="1"/>
    <col min="15631" max="15631" width="8.42578125" style="235" customWidth="1"/>
    <col min="15632" max="15632" width="9.42578125" style="235" customWidth="1"/>
    <col min="15633" max="15872" width="9.5703125" style="235"/>
    <col min="15873" max="15874" width="7.5703125" style="235" customWidth="1"/>
    <col min="15875" max="15885" width="8.42578125" style="235" customWidth="1"/>
    <col min="15886" max="15886" width="8.5703125" style="235" customWidth="1"/>
    <col min="15887" max="15887" width="8.42578125" style="235" customWidth="1"/>
    <col min="15888" max="15888" width="9.42578125" style="235" customWidth="1"/>
    <col min="15889" max="16128" width="9.5703125" style="235"/>
    <col min="16129" max="16130" width="7.5703125" style="235" customWidth="1"/>
    <col min="16131" max="16141" width="8.42578125" style="235" customWidth="1"/>
    <col min="16142" max="16142" width="8.5703125" style="235" customWidth="1"/>
    <col min="16143" max="16143" width="8.42578125" style="235" customWidth="1"/>
    <col min="16144" max="16144" width="9.42578125" style="235" customWidth="1"/>
    <col min="16145" max="16384" width="9.5703125" style="235"/>
  </cols>
  <sheetData>
    <row r="2" spans="1:16" s="229" customFormat="1" ht="15.75" x14ac:dyDescent="0.25">
      <c r="P2" s="230" t="s">
        <v>324</v>
      </c>
    </row>
    <row r="3" spans="1:16" s="229" customFormat="1" ht="18.75" x14ac:dyDescent="0.3">
      <c r="A3" s="381" t="s">
        <v>96</v>
      </c>
      <c r="B3" s="382"/>
      <c r="C3" s="382"/>
      <c r="D3" s="382"/>
      <c r="E3" s="382"/>
      <c r="F3" s="382"/>
      <c r="G3" s="382"/>
      <c r="H3" s="382"/>
      <c r="I3" s="382"/>
      <c r="J3" s="382"/>
      <c r="K3" s="382"/>
      <c r="L3" s="382"/>
      <c r="M3" s="382"/>
      <c r="N3" s="382"/>
      <c r="O3" s="382"/>
      <c r="P3" s="382"/>
    </row>
    <row r="4" spans="1:16" s="229" customFormat="1" ht="4.5" customHeight="1" x14ac:dyDescent="0.25">
      <c r="N4" s="231"/>
    </row>
    <row r="5" spans="1:16" ht="33" customHeight="1" x14ac:dyDescent="0.2">
      <c r="A5" s="383" t="s">
        <v>97</v>
      </c>
      <c r="B5" s="384"/>
      <c r="C5" s="232" t="s">
        <v>98</v>
      </c>
      <c r="D5" s="233" t="s">
        <v>99</v>
      </c>
      <c r="E5" s="233" t="s">
        <v>100</v>
      </c>
      <c r="F5" s="233" t="s">
        <v>101</v>
      </c>
      <c r="G5" s="233" t="s">
        <v>102</v>
      </c>
      <c r="H5" s="233" t="s">
        <v>103</v>
      </c>
      <c r="I5" s="233" t="s">
        <v>104</v>
      </c>
      <c r="J5" s="233" t="s">
        <v>105</v>
      </c>
      <c r="K5" s="233" t="s">
        <v>106</v>
      </c>
      <c r="L5" s="234" t="s">
        <v>107</v>
      </c>
      <c r="M5" s="234" t="s">
        <v>108</v>
      </c>
      <c r="N5" s="234" t="s">
        <v>109</v>
      </c>
      <c r="O5" s="234" t="s">
        <v>110</v>
      </c>
      <c r="P5" s="234" t="s">
        <v>111</v>
      </c>
    </row>
    <row r="6" spans="1:16" ht="23.25" customHeight="1" x14ac:dyDescent="0.25">
      <c r="A6" s="385"/>
      <c r="B6" s="386"/>
      <c r="C6" s="366" t="s">
        <v>112</v>
      </c>
      <c r="D6" s="389"/>
      <c r="E6" s="389"/>
      <c r="F6" s="389"/>
      <c r="G6" s="389"/>
      <c r="H6" s="389"/>
      <c r="I6" s="389"/>
      <c r="J6" s="389"/>
      <c r="K6" s="389"/>
      <c r="L6" s="389"/>
      <c r="M6" s="389"/>
      <c r="N6" s="389"/>
      <c r="O6" s="389"/>
      <c r="P6" s="390"/>
    </row>
    <row r="7" spans="1:16" ht="12.75" customHeight="1" x14ac:dyDescent="0.2">
      <c r="A7" s="387"/>
      <c r="B7" s="388"/>
      <c r="C7" s="236"/>
      <c r="P7" s="237"/>
    </row>
    <row r="8" spans="1:16" x14ac:dyDescent="0.2">
      <c r="A8" s="236"/>
      <c r="B8" s="237"/>
      <c r="C8" s="391" t="s">
        <v>113</v>
      </c>
      <c r="D8" s="370"/>
      <c r="E8" s="370"/>
      <c r="F8" s="370"/>
      <c r="G8" s="370"/>
      <c r="H8" s="370"/>
      <c r="I8" s="370"/>
      <c r="J8" s="370"/>
      <c r="K8" s="370"/>
      <c r="L8" s="370"/>
      <c r="M8" s="370"/>
      <c r="N8" s="370"/>
      <c r="O8" s="370"/>
      <c r="P8" s="371"/>
    </row>
    <row r="9" spans="1:16" ht="11.25" customHeight="1" x14ac:dyDescent="0.2">
      <c r="A9" s="248" t="s">
        <v>114</v>
      </c>
      <c r="B9" s="239">
        <v>3.7</v>
      </c>
      <c r="C9" s="240"/>
      <c r="D9" s="241"/>
      <c r="E9" s="241"/>
      <c r="F9" s="241"/>
      <c r="G9" s="241"/>
      <c r="H9" s="241"/>
      <c r="I9" s="241"/>
      <c r="J9" s="241"/>
      <c r="K9" s="241"/>
      <c r="L9" s="241"/>
      <c r="M9" s="241"/>
      <c r="N9" s="241"/>
      <c r="O9" s="241"/>
      <c r="P9" s="242"/>
    </row>
    <row r="10" spans="1:16" ht="11.25" customHeight="1" x14ac:dyDescent="0.2">
      <c r="A10" s="248" t="s">
        <v>115</v>
      </c>
      <c r="B10" s="239">
        <v>3.1</v>
      </c>
      <c r="C10" s="243">
        <v>2021</v>
      </c>
      <c r="D10" s="244">
        <v>107.38</v>
      </c>
      <c r="E10" s="244">
        <v>106.64</v>
      </c>
      <c r="F10" s="244">
        <v>108.14</v>
      </c>
      <c r="G10" s="244">
        <v>108.19</v>
      </c>
      <c r="H10" s="244">
        <v>108.5</v>
      </c>
      <c r="I10" s="244">
        <v>108.68</v>
      </c>
      <c r="J10" s="244">
        <v>108.26</v>
      </c>
      <c r="K10" s="244">
        <v>109.31</v>
      </c>
      <c r="L10" s="244">
        <v>109.47</v>
      </c>
      <c r="M10" s="244">
        <v>110.45</v>
      </c>
      <c r="N10" s="244">
        <v>111.18</v>
      </c>
      <c r="O10" s="244">
        <v>111.09</v>
      </c>
      <c r="P10" s="246">
        <v>108.94</v>
      </c>
    </row>
    <row r="11" spans="1:16" ht="11.25" customHeight="1" x14ac:dyDescent="0.2">
      <c r="A11" s="248" t="s">
        <v>116</v>
      </c>
      <c r="B11" s="239">
        <v>3.2</v>
      </c>
      <c r="C11" s="243">
        <v>2022</v>
      </c>
      <c r="D11" s="244">
        <v>111.22</v>
      </c>
      <c r="E11" s="244">
        <v>113.64</v>
      </c>
      <c r="F11" s="244">
        <v>114.78</v>
      </c>
      <c r="G11" s="244">
        <v>115.72</v>
      </c>
      <c r="H11" s="244">
        <v>115.87</v>
      </c>
      <c r="I11" s="244">
        <v>116.75</v>
      </c>
      <c r="J11" s="244">
        <v>115.58</v>
      </c>
      <c r="K11" s="244">
        <v>116.7</v>
      </c>
      <c r="L11" s="244">
        <v>117</v>
      </c>
      <c r="M11" s="244">
        <v>118.02</v>
      </c>
      <c r="N11" s="244">
        <v>117.78</v>
      </c>
      <c r="O11" s="244">
        <v>117.06</v>
      </c>
      <c r="P11" s="246">
        <v>115.84</v>
      </c>
    </row>
    <row r="12" spans="1:16" ht="11.25" customHeight="1" x14ac:dyDescent="0.2">
      <c r="A12" s="248" t="s">
        <v>117</v>
      </c>
      <c r="B12" s="239">
        <v>3.6</v>
      </c>
      <c r="C12" s="243">
        <v>2023</v>
      </c>
      <c r="D12" s="244">
        <v>116.59</v>
      </c>
      <c r="E12" s="244">
        <v>118.54</v>
      </c>
      <c r="F12" s="244">
        <v>118.91</v>
      </c>
      <c r="G12" s="244">
        <v>119.99</v>
      </c>
      <c r="H12" s="244">
        <v>120.07</v>
      </c>
      <c r="I12" s="244">
        <v>120.46</v>
      </c>
      <c r="J12" s="244">
        <v>119.91</v>
      </c>
      <c r="K12" s="244">
        <v>121.65</v>
      </c>
      <c r="L12" s="244">
        <v>121.74</v>
      </c>
      <c r="M12" s="244">
        <v>121.75</v>
      </c>
      <c r="N12" s="244">
        <v>121.35</v>
      </c>
      <c r="O12" s="244">
        <v>121.17</v>
      </c>
      <c r="P12" s="246">
        <v>120.18</v>
      </c>
    </row>
    <row r="13" spans="1:16" ht="11.25" customHeight="1" x14ac:dyDescent="0.2">
      <c r="A13" s="248" t="s">
        <v>118</v>
      </c>
      <c r="B13" s="239">
        <v>2.2000000000000002</v>
      </c>
      <c r="C13" s="243">
        <v>2024</v>
      </c>
      <c r="D13" s="244">
        <v>120.61</v>
      </c>
      <c r="E13" s="244">
        <v>122.33</v>
      </c>
      <c r="F13" s="244">
        <v>122.59</v>
      </c>
      <c r="G13" s="244">
        <v>122.87</v>
      </c>
      <c r="H13" s="244">
        <v>123.18</v>
      </c>
      <c r="I13" s="244">
        <v>123.12</v>
      </c>
      <c r="J13" s="244">
        <v>122.29</v>
      </c>
      <c r="K13" s="244">
        <v>123.76</v>
      </c>
      <c r="L13" s="244">
        <v>123.3</v>
      </c>
      <c r="M13" s="244">
        <v>122.91</v>
      </c>
      <c r="N13" s="244">
        <v>122.32</v>
      </c>
      <c r="O13" s="244">
        <v>122.43</v>
      </c>
      <c r="P13" s="246">
        <v>122.64</v>
      </c>
    </row>
    <row r="14" spans="1:16" ht="11.25" customHeight="1" x14ac:dyDescent="0.2">
      <c r="A14" s="248"/>
      <c r="B14" s="247"/>
      <c r="C14" s="243">
        <v>2025</v>
      </c>
      <c r="D14" s="244">
        <v>122.95</v>
      </c>
      <c r="E14" s="244">
        <v>124.41</v>
      </c>
      <c r="F14" s="244">
        <v>124.21</v>
      </c>
      <c r="G14" s="244">
        <v>124.9</v>
      </c>
      <c r="H14" s="244"/>
      <c r="I14" s="244"/>
      <c r="J14" s="244"/>
      <c r="K14" s="244"/>
      <c r="L14" s="244"/>
      <c r="M14" s="244"/>
      <c r="N14" s="244"/>
      <c r="O14" s="244"/>
      <c r="P14" s="246"/>
    </row>
    <row r="15" spans="1:16" ht="11.25" customHeight="1" x14ac:dyDescent="0.2">
      <c r="A15" s="248" t="s">
        <v>119</v>
      </c>
      <c r="B15" s="239">
        <v>1.9</v>
      </c>
      <c r="C15" s="240"/>
      <c r="D15" s="241"/>
      <c r="E15" s="241"/>
      <c r="F15" s="241"/>
      <c r="G15" s="241"/>
      <c r="H15" s="241"/>
      <c r="I15" s="241"/>
      <c r="J15" s="241"/>
      <c r="K15" s="241"/>
      <c r="L15" s="241"/>
      <c r="M15" s="241"/>
      <c r="N15" s="241"/>
      <c r="O15" s="241"/>
      <c r="P15" s="242"/>
    </row>
    <row r="16" spans="1:16" x14ac:dyDescent="0.2">
      <c r="A16" s="248" t="s">
        <v>121</v>
      </c>
      <c r="B16" s="239">
        <v>1.4</v>
      </c>
      <c r="C16" s="378" t="s">
        <v>120</v>
      </c>
      <c r="D16" s="379"/>
      <c r="E16" s="379"/>
      <c r="F16" s="379"/>
      <c r="G16" s="379"/>
      <c r="H16" s="379"/>
      <c r="I16" s="379"/>
      <c r="J16" s="379"/>
      <c r="K16" s="379"/>
      <c r="L16" s="379"/>
      <c r="M16" s="379"/>
      <c r="N16" s="379"/>
      <c r="O16" s="379"/>
      <c r="P16" s="380"/>
    </row>
    <row r="17" spans="1:16" ht="11.25" customHeight="1" x14ac:dyDescent="0.2">
      <c r="A17" s="248" t="s">
        <v>122</v>
      </c>
      <c r="B17" s="239">
        <v>1.4</v>
      </c>
      <c r="C17" s="240"/>
      <c r="D17" s="241"/>
      <c r="E17" s="241"/>
      <c r="F17" s="241"/>
      <c r="G17" s="241"/>
      <c r="H17" s="241"/>
      <c r="I17" s="241"/>
      <c r="J17" s="241"/>
      <c r="K17" s="241"/>
      <c r="L17" s="241"/>
      <c r="M17" s="241"/>
      <c r="N17" s="241"/>
      <c r="O17" s="241"/>
      <c r="P17" s="242"/>
    </row>
    <row r="18" spans="1:16" ht="11.25" customHeight="1" x14ac:dyDescent="0.2">
      <c r="A18" s="248" t="s">
        <v>123</v>
      </c>
      <c r="B18" s="239">
        <v>0.95856626109831211</v>
      </c>
      <c r="C18" s="243">
        <v>2021</v>
      </c>
      <c r="D18" s="241">
        <v>0.67</v>
      </c>
      <c r="E18" s="249">
        <v>-0.69</v>
      </c>
      <c r="F18" s="249">
        <v>1.41</v>
      </c>
      <c r="G18" s="249">
        <v>0.05</v>
      </c>
      <c r="H18" s="249">
        <v>0.28999999999999998</v>
      </c>
      <c r="I18" s="249">
        <v>0.17</v>
      </c>
      <c r="J18" s="249">
        <v>-0.39</v>
      </c>
      <c r="K18" s="249">
        <v>0.97</v>
      </c>
      <c r="L18" s="249">
        <v>0.15</v>
      </c>
      <c r="M18" s="249">
        <v>0.9</v>
      </c>
      <c r="N18" s="249">
        <v>0.66</v>
      </c>
      <c r="O18" s="249">
        <v>-0.08</v>
      </c>
      <c r="P18" s="250"/>
    </row>
    <row r="19" spans="1:16" ht="11.25" customHeight="1" x14ac:dyDescent="0.2">
      <c r="A19" s="248" t="s">
        <v>124</v>
      </c>
      <c r="B19" s="239">
        <v>1.0276370861358686</v>
      </c>
      <c r="C19" s="243">
        <v>2022</v>
      </c>
      <c r="D19" s="249">
        <v>0.12</v>
      </c>
      <c r="E19" s="249">
        <v>2.1800000000000002</v>
      </c>
      <c r="F19" s="249">
        <v>1</v>
      </c>
      <c r="G19" s="249">
        <v>0.82</v>
      </c>
      <c r="H19" s="249">
        <v>0.13</v>
      </c>
      <c r="I19" s="249">
        <v>0.76</v>
      </c>
      <c r="J19" s="249">
        <v>-1</v>
      </c>
      <c r="K19" s="249">
        <v>0.97</v>
      </c>
      <c r="L19" s="249">
        <v>0.26</v>
      </c>
      <c r="M19" s="249">
        <v>0.87</v>
      </c>
      <c r="N19" s="249">
        <v>-0.2</v>
      </c>
      <c r="O19" s="249">
        <v>-0.61</v>
      </c>
      <c r="P19" s="245"/>
    </row>
    <row r="20" spans="1:16" ht="11.25" customHeight="1" x14ac:dyDescent="0.2">
      <c r="A20" s="248"/>
      <c r="B20" s="239"/>
      <c r="C20" s="243">
        <v>2023</v>
      </c>
      <c r="D20" s="249">
        <v>-0.4</v>
      </c>
      <c r="E20" s="249">
        <v>1.67</v>
      </c>
      <c r="F20" s="249">
        <v>0.31</v>
      </c>
      <c r="G20" s="249">
        <v>0.91</v>
      </c>
      <c r="H20" s="249">
        <v>7.0000000000000007E-2</v>
      </c>
      <c r="I20" s="249">
        <v>0.32</v>
      </c>
      <c r="J20" s="249">
        <v>-0.46</v>
      </c>
      <c r="K20" s="249">
        <v>1.45</v>
      </c>
      <c r="L20" s="249">
        <v>7.0000000000000007E-2</v>
      </c>
      <c r="M20" s="249">
        <v>0.01</v>
      </c>
      <c r="N20" s="249">
        <v>-0.33</v>
      </c>
      <c r="O20" s="249">
        <v>-0.15</v>
      </c>
      <c r="P20" s="242"/>
    </row>
    <row r="21" spans="1:16" ht="11.25" customHeight="1" x14ac:dyDescent="0.2">
      <c r="A21" s="248" t="s">
        <v>125</v>
      </c>
      <c r="B21" s="239">
        <v>3.2</v>
      </c>
      <c r="C21" s="243">
        <v>2024</v>
      </c>
      <c r="D21" s="249">
        <v>-0.46</v>
      </c>
      <c r="E21" s="249">
        <v>1.43</v>
      </c>
      <c r="F21" s="249">
        <v>0.21</v>
      </c>
      <c r="G21" s="249">
        <v>0.23</v>
      </c>
      <c r="H21" s="249">
        <v>0.25</v>
      </c>
      <c r="I21" s="249">
        <v>-0.05</v>
      </c>
      <c r="J21" s="249">
        <v>-0.67</v>
      </c>
      <c r="K21" s="249">
        <v>1.2</v>
      </c>
      <c r="L21" s="249">
        <v>-0.37</v>
      </c>
      <c r="M21" s="249">
        <v>-0.32</v>
      </c>
      <c r="N21" s="249">
        <v>-0.48</v>
      </c>
      <c r="O21" s="249">
        <v>0.09</v>
      </c>
      <c r="P21" s="245"/>
    </row>
    <row r="22" spans="1:16" ht="11.25" customHeight="1" x14ac:dyDescent="0.2">
      <c r="A22" s="248" t="s">
        <v>126</v>
      </c>
      <c r="B22" s="239">
        <v>2.7</v>
      </c>
      <c r="C22" s="243">
        <v>2025</v>
      </c>
      <c r="D22" s="249">
        <v>0.42</v>
      </c>
      <c r="E22" s="249">
        <v>1.19</v>
      </c>
      <c r="F22" s="249">
        <v>-0.16</v>
      </c>
      <c r="G22" s="249">
        <v>0.56000000000000005</v>
      </c>
      <c r="H22" s="249"/>
      <c r="I22" s="249"/>
      <c r="J22" s="249"/>
      <c r="K22" s="249"/>
      <c r="L22" s="249"/>
      <c r="M22" s="249"/>
      <c r="N22" s="249"/>
      <c r="O22" s="249"/>
      <c r="P22" s="245"/>
    </row>
    <row r="23" spans="1:16" ht="11.25" customHeight="1" x14ac:dyDescent="0.2">
      <c r="A23" s="248" t="s">
        <v>127</v>
      </c>
      <c r="B23" s="239">
        <v>2.1</v>
      </c>
      <c r="C23" s="240"/>
      <c r="D23" s="241"/>
      <c r="E23" s="241"/>
      <c r="F23" s="241"/>
      <c r="G23" s="241"/>
      <c r="H23" s="241"/>
      <c r="I23" s="241"/>
      <c r="J23" s="241"/>
      <c r="K23" s="241"/>
      <c r="L23" s="241"/>
      <c r="M23" s="241"/>
      <c r="N23" s="241"/>
      <c r="O23" s="241"/>
      <c r="P23" s="245"/>
    </row>
    <row r="24" spans="1:16" x14ac:dyDescent="0.2">
      <c r="A24" s="248" t="s">
        <v>129</v>
      </c>
      <c r="B24" s="239">
        <v>2</v>
      </c>
      <c r="C24" s="378" t="s">
        <v>128</v>
      </c>
      <c r="D24" s="379"/>
      <c r="E24" s="379"/>
      <c r="F24" s="379"/>
      <c r="G24" s="379"/>
      <c r="H24" s="379"/>
      <c r="I24" s="379"/>
      <c r="J24" s="379"/>
      <c r="K24" s="379"/>
      <c r="L24" s="379"/>
      <c r="M24" s="379"/>
      <c r="N24" s="379"/>
      <c r="O24" s="379"/>
      <c r="P24" s="380"/>
    </row>
    <row r="25" spans="1:16" ht="11.25" customHeight="1" x14ac:dyDescent="0.2">
      <c r="A25" s="248" t="s">
        <v>131</v>
      </c>
      <c r="B25" s="239">
        <v>2.2000000000000002</v>
      </c>
      <c r="C25" s="251"/>
      <c r="D25" s="252"/>
      <c r="E25" s="252"/>
      <c r="F25" s="252"/>
      <c r="G25" s="252"/>
      <c r="H25" s="252"/>
      <c r="I25" s="252"/>
      <c r="J25" s="252"/>
      <c r="K25" s="252"/>
      <c r="L25" s="252"/>
      <c r="M25" s="252"/>
      <c r="N25" s="252"/>
      <c r="O25" s="252"/>
      <c r="P25" s="253"/>
    </row>
    <row r="26" spans="1:16" ht="11.25" customHeight="1" x14ac:dyDescent="0.2">
      <c r="A26" s="248"/>
      <c r="B26" s="239"/>
      <c r="C26" s="243" t="s">
        <v>134</v>
      </c>
      <c r="D26" s="244">
        <v>3.58</v>
      </c>
      <c r="E26" s="244">
        <v>6.56</v>
      </c>
      <c r="F26" s="244">
        <v>6.14</v>
      </c>
      <c r="G26" s="244">
        <v>6.96</v>
      </c>
      <c r="H26" s="244">
        <v>6.79</v>
      </c>
      <c r="I26" s="244">
        <v>7.43</v>
      </c>
      <c r="J26" s="244">
        <v>6.76</v>
      </c>
      <c r="K26" s="244">
        <v>6.76</v>
      </c>
      <c r="L26" s="244">
        <v>6.88</v>
      </c>
      <c r="M26" s="244">
        <v>6.85</v>
      </c>
      <c r="N26" s="244">
        <v>5.94</v>
      </c>
      <c r="O26" s="244">
        <v>5.37</v>
      </c>
      <c r="P26" s="254">
        <v>6.3</v>
      </c>
    </row>
    <row r="27" spans="1:16" ht="11.25" customHeight="1" x14ac:dyDescent="0.2">
      <c r="A27" s="248" t="s">
        <v>133</v>
      </c>
      <c r="B27" s="239">
        <v>2.5</v>
      </c>
      <c r="C27" s="243" t="s">
        <v>136</v>
      </c>
      <c r="D27" s="244">
        <v>4.83</v>
      </c>
      <c r="E27" s="244">
        <v>4.3099999999999996</v>
      </c>
      <c r="F27" s="244">
        <v>3.6</v>
      </c>
      <c r="G27" s="244">
        <v>3.69</v>
      </c>
      <c r="H27" s="244">
        <v>3.62</v>
      </c>
      <c r="I27" s="244">
        <v>3.18</v>
      </c>
      <c r="J27" s="244">
        <v>3.75</v>
      </c>
      <c r="K27" s="244">
        <v>4.24</v>
      </c>
      <c r="L27" s="244">
        <v>4.05</v>
      </c>
      <c r="M27" s="244">
        <v>3.16</v>
      </c>
      <c r="N27" s="244">
        <v>3.03</v>
      </c>
      <c r="O27" s="244">
        <v>3.51</v>
      </c>
      <c r="P27" s="254">
        <v>3.7</v>
      </c>
    </row>
    <row r="28" spans="1:16" ht="11.25" customHeight="1" x14ac:dyDescent="0.2">
      <c r="A28" s="248" t="s">
        <v>135</v>
      </c>
      <c r="B28" s="239">
        <v>2.7</v>
      </c>
      <c r="C28" s="243" t="s">
        <v>323</v>
      </c>
      <c r="D28" s="244">
        <v>3.45</v>
      </c>
      <c r="E28" s="244">
        <v>3.2</v>
      </c>
      <c r="F28" s="244">
        <v>3.09</v>
      </c>
      <c r="G28" s="244">
        <v>2.4</v>
      </c>
      <c r="H28" s="244">
        <v>2.59</v>
      </c>
      <c r="I28" s="244">
        <v>2.21</v>
      </c>
      <c r="J28" s="244">
        <v>1.98</v>
      </c>
      <c r="K28" s="244">
        <v>1.73</v>
      </c>
      <c r="L28" s="244">
        <v>1.28</v>
      </c>
      <c r="M28" s="244">
        <v>0.95</v>
      </c>
      <c r="N28" s="244">
        <v>0.8</v>
      </c>
      <c r="O28" s="244">
        <v>1.04</v>
      </c>
      <c r="P28" s="254">
        <v>2</v>
      </c>
    </row>
    <row r="29" spans="1:16" ht="11.25" customHeight="1" x14ac:dyDescent="0.2">
      <c r="A29" s="248" t="s">
        <v>137</v>
      </c>
      <c r="B29" s="239">
        <v>2.2999999999999998</v>
      </c>
      <c r="C29" s="243" t="s">
        <v>325</v>
      </c>
      <c r="D29" s="244">
        <v>1.94</v>
      </c>
      <c r="E29" s="244">
        <v>1.7</v>
      </c>
      <c r="F29" s="244">
        <v>1.32</v>
      </c>
      <c r="G29" s="244">
        <v>1.65</v>
      </c>
      <c r="H29" s="244"/>
      <c r="I29" s="244"/>
      <c r="J29" s="244"/>
      <c r="K29" s="244"/>
      <c r="L29" s="244"/>
      <c r="M29" s="244"/>
      <c r="N29" s="244"/>
      <c r="O29" s="244"/>
      <c r="P29" s="254"/>
    </row>
    <row r="30" spans="1:16" ht="11.25" customHeight="1" x14ac:dyDescent="0.2">
      <c r="A30" s="248" t="s">
        <v>138</v>
      </c>
      <c r="B30" s="239">
        <v>3.4</v>
      </c>
      <c r="C30" s="255"/>
      <c r="D30" s="256"/>
      <c r="E30" s="256"/>
      <c r="F30" s="256"/>
      <c r="G30" s="256"/>
      <c r="H30" s="256"/>
      <c r="I30" s="256"/>
      <c r="J30" s="256"/>
      <c r="K30" s="256"/>
      <c r="L30" s="256"/>
      <c r="M30" s="256"/>
      <c r="N30" s="256"/>
      <c r="O30" s="256"/>
      <c r="P30" s="257"/>
    </row>
    <row r="31" spans="1:16" ht="11.25" customHeight="1" x14ac:dyDescent="0.2">
      <c r="A31" s="248" t="s">
        <v>140</v>
      </c>
      <c r="B31" s="239">
        <v>0.4</v>
      </c>
      <c r="C31" s="258"/>
      <c r="D31" s="259"/>
      <c r="E31" s="259"/>
      <c r="F31" s="259"/>
      <c r="G31" s="259"/>
      <c r="H31" s="259"/>
      <c r="I31" s="259"/>
      <c r="J31" s="259"/>
      <c r="K31" s="259"/>
      <c r="L31" s="259"/>
      <c r="M31" s="259"/>
      <c r="N31" s="259"/>
      <c r="O31" s="259"/>
      <c r="P31" s="260"/>
    </row>
    <row r="32" spans="1:16" ht="15.75" x14ac:dyDescent="0.2">
      <c r="A32" s="248"/>
      <c r="B32" s="239"/>
      <c r="C32" s="357" t="s">
        <v>139</v>
      </c>
      <c r="D32" s="358"/>
      <c r="E32" s="358"/>
      <c r="F32" s="358"/>
      <c r="G32" s="358"/>
      <c r="H32" s="358"/>
      <c r="I32" s="358"/>
      <c r="J32" s="358"/>
      <c r="K32" s="358"/>
      <c r="L32" s="358"/>
      <c r="M32" s="358"/>
      <c r="N32" s="358"/>
      <c r="O32" s="358"/>
      <c r="P32" s="359"/>
    </row>
    <row r="33" spans="1:21" ht="11.25" customHeight="1" x14ac:dyDescent="0.2">
      <c r="A33" s="248" t="s">
        <v>141</v>
      </c>
      <c r="B33" s="239">
        <v>2.2999999999999998</v>
      </c>
      <c r="C33" s="261"/>
      <c r="D33" s="262"/>
      <c r="E33" s="262"/>
      <c r="F33" s="262"/>
      <c r="G33" s="262"/>
      <c r="H33" s="262"/>
      <c r="I33" s="262"/>
      <c r="J33" s="262"/>
      <c r="K33" s="262"/>
      <c r="L33" s="262"/>
      <c r="M33" s="262"/>
      <c r="N33" s="262"/>
      <c r="O33" s="262"/>
      <c r="P33" s="263"/>
    </row>
    <row r="34" spans="1:21" x14ac:dyDescent="0.2">
      <c r="A34" s="264" t="s">
        <v>143</v>
      </c>
      <c r="B34" s="239">
        <v>3.4</v>
      </c>
      <c r="C34" s="360" t="s">
        <v>142</v>
      </c>
      <c r="D34" s="361"/>
      <c r="E34" s="361"/>
      <c r="F34" s="361"/>
      <c r="G34" s="361"/>
      <c r="H34" s="361"/>
      <c r="I34" s="361"/>
      <c r="J34" s="361"/>
      <c r="K34" s="361"/>
      <c r="L34" s="361"/>
      <c r="M34" s="361"/>
      <c r="N34" s="361"/>
      <c r="O34" s="361"/>
      <c r="P34" s="362"/>
    </row>
    <row r="35" spans="1:21" ht="11.25" customHeight="1" x14ac:dyDescent="0.2">
      <c r="A35" s="264" t="s">
        <v>144</v>
      </c>
      <c r="B35" s="239">
        <v>2.7</v>
      </c>
      <c r="C35" s="251"/>
      <c r="D35" s="244"/>
      <c r="E35" s="244"/>
      <c r="F35" s="244"/>
      <c r="G35" s="244"/>
      <c r="H35" s="244"/>
      <c r="I35" s="244"/>
      <c r="J35" s="244"/>
      <c r="K35" s="244"/>
      <c r="L35" s="244"/>
      <c r="M35" s="244"/>
      <c r="N35" s="244"/>
      <c r="O35" s="244"/>
      <c r="P35" s="245"/>
    </row>
    <row r="36" spans="1:21" ht="11.25" customHeight="1" x14ac:dyDescent="0.2">
      <c r="A36" s="264" t="s">
        <v>145</v>
      </c>
      <c r="B36" s="239">
        <v>1.7</v>
      </c>
      <c r="C36" s="265">
        <v>2021</v>
      </c>
      <c r="D36" s="266">
        <v>885.06</v>
      </c>
      <c r="E36" s="266">
        <v>878.96</v>
      </c>
      <c r="F36" s="266">
        <v>891.32</v>
      </c>
      <c r="G36" s="266">
        <v>891.74</v>
      </c>
      <c r="H36" s="266">
        <v>894.29</v>
      </c>
      <c r="I36" s="266">
        <v>895.78</v>
      </c>
      <c r="J36" s="266">
        <v>892.31</v>
      </c>
      <c r="K36" s="266">
        <v>900.97</v>
      </c>
      <c r="L36" s="266">
        <v>902.29</v>
      </c>
      <c r="M36" s="266">
        <v>910.36</v>
      </c>
      <c r="N36" s="266">
        <v>916.38</v>
      </c>
      <c r="O36" s="266">
        <v>915.64</v>
      </c>
      <c r="P36" s="268">
        <v>897.93</v>
      </c>
    </row>
    <row r="37" spans="1:21" ht="11.25" customHeight="1" x14ac:dyDescent="0.2">
      <c r="A37" s="264" t="s">
        <v>146</v>
      </c>
      <c r="B37" s="239">
        <v>0.6</v>
      </c>
      <c r="C37" s="265">
        <v>2022</v>
      </c>
      <c r="D37" s="266">
        <v>915.97</v>
      </c>
      <c r="E37" s="266">
        <v>935.9</v>
      </c>
      <c r="F37" s="266">
        <v>945.29</v>
      </c>
      <c r="G37" s="266">
        <v>953.03</v>
      </c>
      <c r="H37" s="266">
        <v>954.27</v>
      </c>
      <c r="I37" s="266">
        <v>961.51</v>
      </c>
      <c r="J37" s="266">
        <v>951.88</v>
      </c>
      <c r="K37" s="266">
        <v>961.1</v>
      </c>
      <c r="L37" s="266">
        <v>963.57</v>
      </c>
      <c r="M37" s="266">
        <v>971.97</v>
      </c>
      <c r="N37" s="266">
        <v>970</v>
      </c>
      <c r="O37" s="266">
        <v>964.07</v>
      </c>
      <c r="P37" s="268">
        <v>954.05</v>
      </c>
    </row>
    <row r="38" spans="1:21" ht="11.25" customHeight="1" x14ac:dyDescent="0.2">
      <c r="A38" s="264"/>
      <c r="B38" s="239"/>
      <c r="C38" s="265">
        <v>2023</v>
      </c>
      <c r="D38" s="241">
        <v>959.62</v>
      </c>
      <c r="E38" s="241">
        <v>975.67</v>
      </c>
      <c r="F38" s="241">
        <v>978.71</v>
      </c>
      <c r="G38" s="266">
        <v>987.6</v>
      </c>
      <c r="H38" s="266">
        <v>988.26</v>
      </c>
      <c r="I38" s="266">
        <v>991.47</v>
      </c>
      <c r="J38" s="266">
        <v>986.95</v>
      </c>
      <c r="K38" s="266">
        <v>1001.27</v>
      </c>
      <c r="L38" s="266">
        <v>1002.01</v>
      </c>
      <c r="M38" s="266">
        <v>1002.09</v>
      </c>
      <c r="N38" s="266">
        <v>998.8</v>
      </c>
      <c r="O38" s="266">
        <v>997.32</v>
      </c>
      <c r="P38" s="268">
        <v>989.14749999999992</v>
      </c>
      <c r="U38" s="269"/>
    </row>
    <row r="39" spans="1:21" ht="11.25" customHeight="1" x14ac:dyDescent="0.2">
      <c r="A39" s="264" t="s">
        <v>147</v>
      </c>
      <c r="B39" s="239">
        <v>0.5</v>
      </c>
      <c r="C39" s="265">
        <v>2024</v>
      </c>
      <c r="D39" s="266">
        <v>991.89</v>
      </c>
      <c r="E39" s="266">
        <v>1006.03</v>
      </c>
      <c r="F39" s="266">
        <v>1008.17</v>
      </c>
      <c r="G39" s="266">
        <v>1010.47</v>
      </c>
      <c r="H39" s="266">
        <v>1012.86</v>
      </c>
      <c r="I39" s="266">
        <v>1012.37</v>
      </c>
      <c r="J39" s="266">
        <v>1005.54</v>
      </c>
      <c r="K39" s="266">
        <v>1017.63</v>
      </c>
      <c r="L39" s="266">
        <v>1013.85</v>
      </c>
      <c r="M39" s="266">
        <v>1010.64</v>
      </c>
      <c r="N39" s="266">
        <v>1005.79</v>
      </c>
      <c r="O39" s="266">
        <v>1006.69</v>
      </c>
      <c r="P39" s="268">
        <v>1008.49</v>
      </c>
    </row>
    <row r="40" spans="1:21" ht="11.25" customHeight="1" x14ac:dyDescent="0.2">
      <c r="A40" s="264" t="s">
        <v>148</v>
      </c>
      <c r="B40" s="239">
        <v>0.3</v>
      </c>
      <c r="C40" s="265">
        <v>2025</v>
      </c>
      <c r="D40" s="266">
        <v>1010.23</v>
      </c>
      <c r="E40" s="266">
        <v>1022.23</v>
      </c>
      <c r="F40" s="266">
        <v>1020.58</v>
      </c>
      <c r="G40" s="266">
        <v>1026.25</v>
      </c>
      <c r="H40" s="266"/>
      <c r="I40" s="266"/>
      <c r="J40" s="266"/>
      <c r="K40" s="266"/>
      <c r="L40" s="266"/>
      <c r="M40" s="266"/>
      <c r="N40" s="266"/>
      <c r="O40" s="266"/>
      <c r="P40" s="268"/>
    </row>
    <row r="41" spans="1:21" ht="11.25" customHeight="1" x14ac:dyDescent="0.2">
      <c r="A41" s="264" t="s">
        <v>149</v>
      </c>
      <c r="B41" s="239">
        <v>1.7</v>
      </c>
      <c r="C41" s="270"/>
      <c r="D41" s="249"/>
      <c r="E41" s="249"/>
      <c r="F41" s="249"/>
      <c r="G41" s="249"/>
      <c r="H41" s="249"/>
      <c r="I41" s="249"/>
      <c r="J41" s="249"/>
      <c r="K41" s="249"/>
      <c r="L41" s="249"/>
      <c r="M41" s="249"/>
      <c r="N41" s="249"/>
      <c r="O41" s="249"/>
      <c r="P41" s="271"/>
    </row>
    <row r="42" spans="1:21" x14ac:dyDescent="0.2">
      <c r="A42" s="264" t="s">
        <v>151</v>
      </c>
      <c r="B42" s="239">
        <v>1.5</v>
      </c>
      <c r="C42" s="363" t="s">
        <v>150</v>
      </c>
      <c r="D42" s="364"/>
      <c r="E42" s="364"/>
      <c r="F42" s="364"/>
      <c r="G42" s="364"/>
      <c r="H42" s="364"/>
      <c r="I42" s="364"/>
      <c r="J42" s="364"/>
      <c r="K42" s="364"/>
      <c r="L42" s="364"/>
      <c r="M42" s="364"/>
      <c r="N42" s="364"/>
      <c r="O42" s="364"/>
      <c r="P42" s="365"/>
    </row>
    <row r="43" spans="1:21" ht="11.25" customHeight="1" x14ac:dyDescent="0.2">
      <c r="A43" s="264" t="s">
        <v>152</v>
      </c>
      <c r="B43" s="239">
        <v>1.7</v>
      </c>
      <c r="C43" s="264"/>
      <c r="D43" s="266"/>
      <c r="E43" s="266"/>
      <c r="F43" s="266"/>
      <c r="G43" s="266"/>
      <c r="H43" s="266"/>
      <c r="I43" s="266"/>
      <c r="J43" s="266"/>
      <c r="K43" s="266"/>
      <c r="L43" s="266"/>
      <c r="M43" s="266"/>
      <c r="N43" s="266"/>
      <c r="O43" s="266"/>
      <c r="P43" s="267"/>
    </row>
    <row r="44" spans="1:21" ht="11.25" customHeight="1" x14ac:dyDescent="0.2">
      <c r="A44" s="264"/>
      <c r="B44" s="239"/>
      <c r="C44" s="265">
        <v>2021</v>
      </c>
      <c r="D44" s="266">
        <v>881.88</v>
      </c>
      <c r="E44" s="266">
        <v>881.36</v>
      </c>
      <c r="F44" s="266">
        <v>882.99</v>
      </c>
      <c r="G44" s="266">
        <v>884.74</v>
      </c>
      <c r="H44" s="266">
        <v>887.22</v>
      </c>
      <c r="I44" s="266">
        <v>889.52</v>
      </c>
      <c r="J44" s="266">
        <v>890.73</v>
      </c>
      <c r="K44" s="266">
        <v>894.4</v>
      </c>
      <c r="L44" s="266">
        <v>896.23</v>
      </c>
      <c r="M44" s="266">
        <v>899.33</v>
      </c>
      <c r="N44" s="266">
        <v>903.01</v>
      </c>
      <c r="O44" s="266">
        <v>906.33</v>
      </c>
      <c r="P44" s="267"/>
    </row>
    <row r="45" spans="1:21" ht="11.25" customHeight="1" x14ac:dyDescent="0.2">
      <c r="A45" s="264" t="s">
        <v>130</v>
      </c>
      <c r="B45" s="239">
        <v>0.8</v>
      </c>
      <c r="C45" s="265">
        <v>2022</v>
      </c>
      <c r="D45" s="266">
        <v>910.27</v>
      </c>
      <c r="E45" s="266">
        <v>916.09</v>
      </c>
      <c r="F45" s="266">
        <v>923.26</v>
      </c>
      <c r="G45" s="266">
        <v>930.37</v>
      </c>
      <c r="H45" s="266">
        <v>936.68</v>
      </c>
      <c r="I45" s="266">
        <v>944.33</v>
      </c>
      <c r="J45" s="266">
        <v>950.31</v>
      </c>
      <c r="K45" s="266">
        <v>954.51</v>
      </c>
      <c r="L45" s="266">
        <v>957.56</v>
      </c>
      <c r="M45" s="266">
        <v>960.72</v>
      </c>
      <c r="N45" s="266">
        <v>963.34</v>
      </c>
      <c r="O45" s="266">
        <v>963.76</v>
      </c>
      <c r="P45" s="267"/>
    </row>
    <row r="46" spans="1:21" ht="11.25" customHeight="1" x14ac:dyDescent="0.2">
      <c r="A46" s="264" t="s">
        <v>132</v>
      </c>
      <c r="B46" s="239">
        <v>2.5</v>
      </c>
      <c r="C46" s="265">
        <v>2023</v>
      </c>
      <c r="D46" s="241">
        <v>965.06</v>
      </c>
      <c r="E46" s="241">
        <v>967.48</v>
      </c>
      <c r="F46" s="241">
        <v>970.01</v>
      </c>
      <c r="G46" s="266">
        <v>972.61</v>
      </c>
      <c r="H46" s="266">
        <v>975.65</v>
      </c>
      <c r="I46" s="266">
        <v>980.22</v>
      </c>
      <c r="J46" s="266">
        <v>984.78</v>
      </c>
      <c r="K46" s="266">
        <v>989.04</v>
      </c>
      <c r="L46" s="266">
        <v>992.93</v>
      </c>
      <c r="M46" s="266">
        <v>995.34</v>
      </c>
      <c r="N46" s="266">
        <v>997.1</v>
      </c>
      <c r="O46" s="266">
        <v>998.07</v>
      </c>
      <c r="P46" s="271"/>
    </row>
    <row r="47" spans="1:21" ht="11.25" customHeight="1" x14ac:dyDescent="0.2">
      <c r="A47" s="248" t="s">
        <v>134</v>
      </c>
      <c r="B47" s="239">
        <v>6.3</v>
      </c>
      <c r="C47" s="265">
        <v>2024</v>
      </c>
      <c r="D47" s="266">
        <v>998.89</v>
      </c>
      <c r="E47" s="266">
        <v>999.69</v>
      </c>
      <c r="F47" s="266">
        <v>1000.72</v>
      </c>
      <c r="G47" s="266">
        <v>1002.11</v>
      </c>
      <c r="H47" s="266">
        <v>1004.46</v>
      </c>
      <c r="I47" s="266">
        <v>1006.97</v>
      </c>
      <c r="J47" s="266">
        <v>1009.24</v>
      </c>
      <c r="K47" s="266">
        <v>1011.17</v>
      </c>
      <c r="L47" s="266">
        <v>1012.12</v>
      </c>
      <c r="M47" s="266">
        <v>1012.15</v>
      </c>
      <c r="N47" s="266">
        <v>1010.97</v>
      </c>
      <c r="O47" s="266">
        <v>1010.02</v>
      </c>
      <c r="P47" s="245"/>
    </row>
    <row r="48" spans="1:21" ht="11.25" customHeight="1" x14ac:dyDescent="0.2">
      <c r="A48" s="248" t="s">
        <v>136</v>
      </c>
      <c r="B48" s="239">
        <v>3.7</v>
      </c>
      <c r="C48" s="265">
        <v>2025</v>
      </c>
      <c r="D48" s="266">
        <v>1010.8</v>
      </c>
      <c r="E48" s="266">
        <v>1011.57</v>
      </c>
      <c r="F48" s="266">
        <v>1012.69</v>
      </c>
      <c r="G48" s="266">
        <v>1015.3</v>
      </c>
      <c r="H48" s="266"/>
      <c r="I48" s="266"/>
      <c r="J48" s="266"/>
      <c r="K48" s="266"/>
      <c r="L48" s="266"/>
      <c r="M48" s="266"/>
      <c r="N48" s="266"/>
      <c r="O48" s="266"/>
      <c r="P48" s="245"/>
    </row>
    <row r="49" spans="1:16" ht="11.25" customHeight="1" x14ac:dyDescent="0.2">
      <c r="A49" s="248" t="s">
        <v>323</v>
      </c>
      <c r="B49" s="239">
        <v>2</v>
      </c>
      <c r="C49" s="240"/>
      <c r="D49" s="241"/>
      <c r="E49" s="241"/>
      <c r="F49" s="241"/>
      <c r="G49" s="241"/>
      <c r="H49" s="241"/>
      <c r="I49" s="241"/>
      <c r="J49" s="241"/>
      <c r="K49" s="241"/>
      <c r="L49" s="241"/>
      <c r="M49" s="241"/>
      <c r="N49" s="241"/>
      <c r="O49" s="241"/>
      <c r="P49" s="245"/>
    </row>
    <row r="50" spans="1:16" ht="12" customHeight="1" x14ac:dyDescent="0.2">
      <c r="A50" s="248"/>
      <c r="B50" s="239"/>
      <c r="C50" s="272"/>
      <c r="D50" s="241"/>
      <c r="E50" s="241"/>
      <c r="F50" s="241"/>
      <c r="G50" s="241"/>
      <c r="H50" s="241"/>
      <c r="I50" s="241"/>
      <c r="J50" s="241"/>
      <c r="K50" s="241"/>
      <c r="L50" s="241"/>
      <c r="M50" s="241"/>
      <c r="N50" s="241"/>
      <c r="O50" s="241"/>
      <c r="P50" s="273"/>
    </row>
    <row r="51" spans="1:16" ht="26.25" customHeight="1" x14ac:dyDescent="0.25">
      <c r="A51" s="366" t="s">
        <v>153</v>
      </c>
      <c r="B51" s="367"/>
      <c r="C51" s="367"/>
      <c r="D51" s="367"/>
      <c r="E51" s="367"/>
      <c r="F51" s="367"/>
      <c r="G51" s="367"/>
      <c r="H51" s="367"/>
      <c r="I51" s="367"/>
      <c r="J51" s="367"/>
      <c r="K51" s="367"/>
      <c r="L51" s="367"/>
      <c r="M51" s="367"/>
      <c r="N51" s="367"/>
      <c r="O51" s="367"/>
      <c r="P51" s="368"/>
    </row>
    <row r="52" spans="1:16" ht="24" customHeight="1" x14ac:dyDescent="0.2">
      <c r="A52" s="274" t="s">
        <v>154</v>
      </c>
      <c r="B52" s="275"/>
      <c r="C52" s="276"/>
      <c r="D52" s="276"/>
      <c r="E52" s="276"/>
      <c r="F52" s="276"/>
      <c r="G52" s="276"/>
      <c r="H52" s="276"/>
      <c r="I52" s="276"/>
      <c r="J52" s="276"/>
      <c r="K52" s="276"/>
      <c r="L52" s="277"/>
      <c r="M52" s="369" t="s">
        <v>155</v>
      </c>
      <c r="N52" s="370"/>
      <c r="O52" s="370"/>
      <c r="P52" s="371"/>
    </row>
    <row r="53" spans="1:16" ht="6" customHeight="1" x14ac:dyDescent="0.2">
      <c r="A53" s="274"/>
      <c r="B53" s="275"/>
      <c r="C53" s="276"/>
      <c r="D53" s="276"/>
      <c r="E53" s="276"/>
      <c r="F53" s="276"/>
      <c r="G53" s="276"/>
      <c r="H53" s="276"/>
      <c r="I53" s="276"/>
      <c r="J53" s="276"/>
      <c r="K53" s="276"/>
      <c r="L53" s="277"/>
      <c r="M53" s="276"/>
      <c r="N53" s="276"/>
      <c r="O53" s="276"/>
      <c r="P53" s="278"/>
    </row>
    <row r="54" spans="1:16" ht="39" customHeight="1" x14ac:dyDescent="0.2">
      <c r="A54" s="372" t="s">
        <v>156</v>
      </c>
      <c r="B54" s="373"/>
      <c r="C54" s="279" t="s">
        <v>157</v>
      </c>
      <c r="D54" s="374" t="s">
        <v>158</v>
      </c>
      <c r="E54" s="373"/>
      <c r="F54" s="238"/>
      <c r="G54" s="280" t="s">
        <v>159</v>
      </c>
      <c r="H54" s="279" t="s">
        <v>160</v>
      </c>
      <c r="I54" s="279" t="s">
        <v>157</v>
      </c>
      <c r="J54" s="374" t="s">
        <v>158</v>
      </c>
      <c r="K54" s="373"/>
      <c r="L54" s="238"/>
      <c r="M54" s="281" t="s">
        <v>98</v>
      </c>
      <c r="N54" s="279" t="s">
        <v>161</v>
      </c>
      <c r="O54" s="374" t="s">
        <v>162</v>
      </c>
      <c r="P54" s="375"/>
    </row>
    <row r="55" spans="1:16" ht="11.25" customHeight="1" x14ac:dyDescent="0.2">
      <c r="A55" s="236"/>
      <c r="B55" s="282"/>
      <c r="C55" s="282"/>
      <c r="D55" s="282"/>
      <c r="E55" s="282"/>
      <c r="F55" s="282"/>
      <c r="G55" s="282"/>
      <c r="H55" s="282"/>
      <c r="I55" s="282"/>
      <c r="J55" s="282"/>
      <c r="K55" s="282"/>
      <c r="L55" s="282"/>
      <c r="M55" s="282"/>
      <c r="N55" s="282"/>
      <c r="O55" s="282"/>
      <c r="P55" s="283"/>
    </row>
    <row r="56" spans="1:16" ht="11.25" customHeight="1" x14ac:dyDescent="0.2">
      <c r="A56" s="274" t="s">
        <v>163</v>
      </c>
      <c r="B56" s="276"/>
      <c r="C56" s="238" t="s">
        <v>164</v>
      </c>
      <c r="D56" s="276" t="s">
        <v>165</v>
      </c>
      <c r="E56" s="276"/>
      <c r="F56" s="282"/>
      <c r="G56" s="226">
        <v>533.41</v>
      </c>
      <c r="H56" s="226">
        <v>509.51</v>
      </c>
      <c r="I56" s="238">
        <v>2.5</v>
      </c>
      <c r="J56" s="276" t="s">
        <v>169</v>
      </c>
      <c r="K56" s="276"/>
      <c r="L56" s="282"/>
      <c r="M56" s="295">
        <v>2005</v>
      </c>
      <c r="N56" s="226">
        <v>640.24</v>
      </c>
      <c r="O56" s="227">
        <v>2.5</v>
      </c>
      <c r="P56" s="228"/>
    </row>
    <row r="57" spans="1:16" ht="11.25" customHeight="1" x14ac:dyDescent="0.2">
      <c r="A57" s="274" t="s">
        <v>167</v>
      </c>
      <c r="B57" s="276"/>
      <c r="C57" s="238" t="s">
        <v>164</v>
      </c>
      <c r="D57" s="276" t="s">
        <v>168</v>
      </c>
      <c r="E57" s="276"/>
      <c r="F57" s="282"/>
      <c r="G57" s="226">
        <v>546.74</v>
      </c>
      <c r="H57" s="226">
        <v>522.24</v>
      </c>
      <c r="I57" s="238">
        <v>2.5</v>
      </c>
      <c r="J57" s="276" t="s">
        <v>172</v>
      </c>
      <c r="K57" s="276"/>
      <c r="L57" s="282"/>
      <c r="M57" s="295">
        <v>2006</v>
      </c>
      <c r="N57" s="226">
        <v>653.52</v>
      </c>
      <c r="O57" s="227">
        <v>2.0699999999999998</v>
      </c>
      <c r="P57" s="228"/>
    </row>
    <row r="58" spans="1:16" ht="11.25" customHeight="1" x14ac:dyDescent="0.2">
      <c r="A58" s="274" t="s">
        <v>170</v>
      </c>
      <c r="B58" s="276"/>
      <c r="C58" s="238" t="s">
        <v>164</v>
      </c>
      <c r="D58" s="276" t="s">
        <v>171</v>
      </c>
      <c r="E58" s="276"/>
      <c r="F58" s="282"/>
      <c r="G58" s="226">
        <v>560.4</v>
      </c>
      <c r="H58" s="226">
        <v>535.29</v>
      </c>
      <c r="I58" s="238">
        <v>2.5</v>
      </c>
      <c r="J58" s="276" t="s">
        <v>174</v>
      </c>
      <c r="K58" s="276"/>
      <c r="L58" s="282"/>
      <c r="M58" s="295">
        <v>2007</v>
      </c>
      <c r="N58" s="226">
        <v>668.46</v>
      </c>
      <c r="O58" s="227">
        <v>2.29</v>
      </c>
      <c r="P58" s="228"/>
    </row>
    <row r="59" spans="1:16" ht="11.25" customHeight="1" x14ac:dyDescent="0.2">
      <c r="A59" s="274">
        <v>422.32</v>
      </c>
      <c r="B59" s="276"/>
      <c r="C59" s="238" t="s">
        <v>164</v>
      </c>
      <c r="D59" s="276" t="s">
        <v>173</v>
      </c>
      <c r="E59" s="276"/>
      <c r="F59" s="282"/>
      <c r="G59" s="226">
        <v>574.41</v>
      </c>
      <c r="H59" s="226">
        <v>548.66999999999996</v>
      </c>
      <c r="I59" s="238">
        <v>2.5</v>
      </c>
      <c r="J59" s="276" t="s">
        <v>175</v>
      </c>
      <c r="K59" s="276"/>
      <c r="L59" s="282"/>
      <c r="M59" s="295">
        <v>2008</v>
      </c>
      <c r="N59" s="226">
        <v>682.39</v>
      </c>
      <c r="O59" s="227">
        <v>2.0838943242677201</v>
      </c>
      <c r="P59" s="228"/>
    </row>
    <row r="60" spans="1:16" ht="11.25" customHeight="1" x14ac:dyDescent="0.2">
      <c r="A60" s="236"/>
      <c r="F60" s="282"/>
      <c r="G60" s="226">
        <v>588.77</v>
      </c>
      <c r="H60" s="226">
        <v>562.38</v>
      </c>
      <c r="I60" s="238">
        <v>2.5</v>
      </c>
      <c r="J60" s="276" t="s">
        <v>178</v>
      </c>
      <c r="K60" s="276"/>
      <c r="L60" s="282"/>
      <c r="M60" s="295">
        <v>2009</v>
      </c>
      <c r="N60" s="226">
        <v>699.44</v>
      </c>
      <c r="O60" s="227">
        <v>2.5</v>
      </c>
      <c r="P60" s="228"/>
    </row>
    <row r="61" spans="1:16" ht="11.25" customHeight="1" x14ac:dyDescent="0.2">
      <c r="A61" s="284" t="s">
        <v>176</v>
      </c>
      <c r="B61" s="285" t="s">
        <v>177</v>
      </c>
      <c r="F61" s="282"/>
      <c r="G61" s="226">
        <v>603.48</v>
      </c>
      <c r="H61" s="226">
        <v>576.42999999999995</v>
      </c>
      <c r="I61" s="238">
        <v>2.5</v>
      </c>
      <c r="J61" s="276" t="s">
        <v>181</v>
      </c>
      <c r="K61" s="276"/>
      <c r="L61" s="282"/>
      <c r="M61" s="295">
        <v>2010</v>
      </c>
      <c r="N61" s="226">
        <v>711.07</v>
      </c>
      <c r="O61" s="227">
        <v>1.66</v>
      </c>
      <c r="P61" s="228"/>
    </row>
    <row r="62" spans="1:16" ht="11.25" customHeight="1" x14ac:dyDescent="0.2">
      <c r="A62" s="286" t="s">
        <v>179</v>
      </c>
      <c r="B62" s="287" t="s">
        <v>180</v>
      </c>
      <c r="F62" s="282"/>
      <c r="G62" s="226">
        <v>618.55999999999995</v>
      </c>
      <c r="H62" s="226">
        <v>590.84</v>
      </c>
      <c r="I62" s="238">
        <v>2.5</v>
      </c>
      <c r="J62" s="276" t="s">
        <v>184</v>
      </c>
      <c r="K62" s="276"/>
      <c r="L62" s="282"/>
      <c r="M62" s="295">
        <v>2011</v>
      </c>
      <c r="N62" s="226">
        <v>724.34</v>
      </c>
      <c r="O62" s="227">
        <v>1.86</v>
      </c>
      <c r="P62" s="228"/>
    </row>
    <row r="63" spans="1:16" ht="11.25" customHeight="1" x14ac:dyDescent="0.2">
      <c r="A63" s="288" t="s">
        <v>182</v>
      </c>
      <c r="B63" s="289" t="s">
        <v>183</v>
      </c>
      <c r="F63" s="282"/>
      <c r="G63" s="226">
        <v>634.02</v>
      </c>
      <c r="H63" s="226">
        <v>605.61</v>
      </c>
      <c r="I63" s="238">
        <v>2.5</v>
      </c>
      <c r="J63" s="276" t="s">
        <v>185</v>
      </c>
      <c r="K63" s="276"/>
      <c r="L63" s="282"/>
      <c r="M63" s="295">
        <v>2012</v>
      </c>
      <c r="N63" s="226">
        <v>742.44</v>
      </c>
      <c r="O63" s="227">
        <v>2.5</v>
      </c>
      <c r="P63" s="228"/>
    </row>
    <row r="64" spans="1:16" ht="11.25" customHeight="1" x14ac:dyDescent="0.2">
      <c r="A64" s="290">
        <v>448.77</v>
      </c>
      <c r="B64" s="226">
        <v>422.32</v>
      </c>
      <c r="C64" s="238">
        <v>2.5</v>
      </c>
      <c r="D64" s="276" t="s">
        <v>173</v>
      </c>
      <c r="E64" s="276"/>
      <c r="F64" s="282"/>
      <c r="G64" s="226">
        <v>649.87</v>
      </c>
      <c r="H64" s="226">
        <v>620.75</v>
      </c>
      <c r="I64" s="238">
        <v>2.5</v>
      </c>
      <c r="J64" s="276" t="s">
        <v>188</v>
      </c>
      <c r="K64" s="276"/>
      <c r="L64" s="282"/>
      <c r="M64" s="295">
        <v>2013</v>
      </c>
      <c r="N64" s="226">
        <v>761</v>
      </c>
      <c r="O64" s="227">
        <v>2.5</v>
      </c>
      <c r="P64" s="228"/>
    </row>
    <row r="65" spans="1:24" ht="11.25" customHeight="1" x14ac:dyDescent="0.2">
      <c r="A65" s="290">
        <v>448.77</v>
      </c>
      <c r="B65" s="226">
        <v>426.54</v>
      </c>
      <c r="C65" s="238" t="s">
        <v>186</v>
      </c>
      <c r="D65" s="276" t="s">
        <v>187</v>
      </c>
      <c r="E65" s="276"/>
      <c r="F65" s="282"/>
      <c r="G65" s="226">
        <v>666.11</v>
      </c>
      <c r="H65" s="226">
        <v>636.26</v>
      </c>
      <c r="I65" s="238">
        <v>2.5</v>
      </c>
      <c r="J65" s="276" t="s">
        <v>190</v>
      </c>
      <c r="K65" s="276"/>
      <c r="L65" s="282"/>
      <c r="M65" s="295">
        <v>2014</v>
      </c>
      <c r="N65" s="226">
        <v>775.17</v>
      </c>
      <c r="O65" s="227">
        <v>1.86</v>
      </c>
      <c r="P65" s="228"/>
      <c r="T65" s="226"/>
      <c r="U65" s="226"/>
      <c r="V65" s="238"/>
      <c r="W65" s="276"/>
      <c r="X65" s="276"/>
    </row>
    <row r="66" spans="1:24" ht="11.25" customHeight="1" x14ac:dyDescent="0.2">
      <c r="A66" s="290">
        <v>448.77</v>
      </c>
      <c r="B66" s="226">
        <v>428.67</v>
      </c>
      <c r="C66" s="238">
        <v>0.5</v>
      </c>
      <c r="D66" s="276" t="s">
        <v>189</v>
      </c>
      <c r="E66" s="276"/>
      <c r="F66" s="282"/>
      <c r="G66" s="226">
        <v>682.76</v>
      </c>
      <c r="H66" s="226">
        <v>652.16</v>
      </c>
      <c r="I66" s="238">
        <v>2.5</v>
      </c>
      <c r="J66" s="276" t="s">
        <v>192</v>
      </c>
      <c r="K66" s="276"/>
      <c r="L66" s="282"/>
      <c r="M66" s="295">
        <v>2015</v>
      </c>
      <c r="N66" s="226">
        <v>775.17</v>
      </c>
      <c r="O66" s="227">
        <v>0</v>
      </c>
      <c r="P66" s="228"/>
    </row>
    <row r="67" spans="1:24" ht="11.25" customHeight="1" x14ac:dyDescent="0.2">
      <c r="A67" s="290">
        <v>459.98</v>
      </c>
      <c r="B67" s="226">
        <v>439.38</v>
      </c>
      <c r="C67" s="238">
        <v>2.5</v>
      </c>
      <c r="D67" s="276" t="s">
        <v>191</v>
      </c>
      <c r="E67" s="276"/>
      <c r="F67" s="282"/>
      <c r="G67" s="226">
        <v>699.82</v>
      </c>
      <c r="H67" s="226">
        <v>668.46</v>
      </c>
      <c r="I67" s="238">
        <v>2.5</v>
      </c>
      <c r="J67" s="276" t="s">
        <v>194</v>
      </c>
      <c r="K67" s="276"/>
      <c r="L67" s="282"/>
      <c r="M67" s="295">
        <v>2016</v>
      </c>
      <c r="N67" s="226">
        <v>775.17</v>
      </c>
      <c r="O67" s="227">
        <v>0</v>
      </c>
      <c r="P67" s="228"/>
    </row>
    <row r="68" spans="1:24" ht="11.25" customHeight="1" x14ac:dyDescent="0.2">
      <c r="A68" s="290">
        <v>471.47</v>
      </c>
      <c r="B68" s="226">
        <v>450.36</v>
      </c>
      <c r="C68" s="238">
        <v>2.5</v>
      </c>
      <c r="D68" s="276" t="s">
        <v>193</v>
      </c>
      <c r="E68" s="276"/>
      <c r="F68" s="282"/>
      <c r="G68" s="226">
        <v>717.31</v>
      </c>
      <c r="H68" s="226">
        <v>685.17</v>
      </c>
      <c r="I68" s="238">
        <v>2.5</v>
      </c>
      <c r="J68" s="276" t="s">
        <v>196</v>
      </c>
      <c r="K68" s="276"/>
      <c r="L68" s="282"/>
      <c r="M68" s="295">
        <v>2017</v>
      </c>
      <c r="N68" s="226">
        <v>794.54</v>
      </c>
      <c r="O68" s="227">
        <v>2.5</v>
      </c>
      <c r="P68" s="228"/>
    </row>
    <row r="69" spans="1:24" ht="11.25" customHeight="1" x14ac:dyDescent="0.2">
      <c r="A69" s="290">
        <v>483.25</v>
      </c>
      <c r="B69" s="226">
        <v>461.61</v>
      </c>
      <c r="C69" s="238">
        <v>2.5</v>
      </c>
      <c r="D69" s="276" t="s">
        <v>195</v>
      </c>
      <c r="E69" s="276"/>
      <c r="F69" s="282"/>
      <c r="G69" s="226">
        <v>735.24</v>
      </c>
      <c r="H69" s="226">
        <v>702.29</v>
      </c>
      <c r="I69" s="238">
        <v>2.5</v>
      </c>
      <c r="J69" s="276" t="s">
        <v>198</v>
      </c>
      <c r="K69" s="276"/>
      <c r="L69" s="282"/>
      <c r="M69" s="295">
        <v>2018</v>
      </c>
      <c r="N69" s="226">
        <v>802.82</v>
      </c>
      <c r="O69" s="227">
        <v>1.04</v>
      </c>
      <c r="P69" s="228"/>
      <c r="R69" s="130"/>
    </row>
    <row r="70" spans="1:24" ht="11.25" customHeight="1" x14ac:dyDescent="0.2">
      <c r="A70" s="290">
        <v>495.33</v>
      </c>
      <c r="B70" s="226">
        <v>473.15</v>
      </c>
      <c r="C70" s="238">
        <v>2.5</v>
      </c>
      <c r="D70" s="276" t="s">
        <v>197</v>
      </c>
      <c r="E70" s="276"/>
      <c r="F70" s="282"/>
      <c r="G70" s="226">
        <v>753.62</v>
      </c>
      <c r="H70" s="226">
        <v>719.84</v>
      </c>
      <c r="I70" s="238">
        <v>2.5</v>
      </c>
      <c r="J70" s="276" t="s">
        <v>200</v>
      </c>
      <c r="K70" s="276"/>
      <c r="L70" s="282"/>
      <c r="M70" s="295">
        <v>2019</v>
      </c>
      <c r="N70" s="226">
        <v>814.4</v>
      </c>
      <c r="O70" s="227">
        <v>1.44</v>
      </c>
      <c r="P70" s="228"/>
      <c r="R70" s="130"/>
    </row>
    <row r="71" spans="1:24" ht="12" customHeight="1" x14ac:dyDescent="0.2">
      <c r="A71" s="290">
        <v>507.71</v>
      </c>
      <c r="B71" s="226">
        <v>484.97</v>
      </c>
      <c r="C71" s="238">
        <v>2.5</v>
      </c>
      <c r="D71" s="276" t="s">
        <v>199</v>
      </c>
      <c r="E71" s="276"/>
      <c r="F71" s="282"/>
      <c r="G71" s="226">
        <v>772.46</v>
      </c>
      <c r="H71" s="226">
        <v>737.83</v>
      </c>
      <c r="I71" s="238">
        <v>2.5</v>
      </c>
      <c r="J71" s="276" t="s">
        <v>201</v>
      </c>
      <c r="K71" s="276"/>
      <c r="L71" s="282"/>
      <c r="M71" s="295">
        <v>2020</v>
      </c>
      <c r="N71" s="226">
        <v>834.76</v>
      </c>
      <c r="O71" s="227">
        <v>2.5</v>
      </c>
      <c r="P71" s="228"/>
      <c r="R71" s="130"/>
    </row>
    <row r="72" spans="1:24" ht="10.5" customHeight="1" x14ac:dyDescent="0.2">
      <c r="A72" s="226">
        <v>520.4</v>
      </c>
      <c r="B72" s="226">
        <v>497.09</v>
      </c>
      <c r="C72" s="238">
        <v>2.5</v>
      </c>
      <c r="D72" s="276" t="s">
        <v>166</v>
      </c>
      <c r="E72" s="276"/>
      <c r="F72" s="282"/>
      <c r="G72" s="226">
        <v>791.77</v>
      </c>
      <c r="H72" s="226">
        <v>756.27</v>
      </c>
      <c r="I72" s="238">
        <v>2.5</v>
      </c>
      <c r="J72" s="276" t="s">
        <v>202</v>
      </c>
      <c r="K72" s="276"/>
      <c r="L72" s="282"/>
      <c r="M72" s="295">
        <v>2021</v>
      </c>
      <c r="N72" s="226">
        <v>839.98</v>
      </c>
      <c r="O72" s="227">
        <v>0.63</v>
      </c>
      <c r="P72" s="228"/>
      <c r="R72" s="130"/>
    </row>
    <row r="73" spans="1:24" ht="10.5" customHeight="1" x14ac:dyDescent="0.2">
      <c r="A73" s="290"/>
      <c r="B73" s="226"/>
      <c r="C73" s="238"/>
      <c r="D73" s="276"/>
      <c r="E73" s="276"/>
      <c r="F73" s="282"/>
      <c r="G73" s="226">
        <v>811.56</v>
      </c>
      <c r="H73" s="226">
        <v>775.17</v>
      </c>
      <c r="I73" s="238">
        <v>2.5</v>
      </c>
      <c r="J73" s="276" t="s">
        <v>203</v>
      </c>
      <c r="K73" s="276"/>
      <c r="M73" s="295">
        <v>2022</v>
      </c>
      <c r="N73" s="226">
        <v>871.66</v>
      </c>
      <c r="O73" s="227">
        <v>1.88</v>
      </c>
      <c r="P73" s="228"/>
      <c r="R73" s="130"/>
    </row>
    <row r="74" spans="1:24" ht="10.5" customHeight="1" x14ac:dyDescent="0.2">
      <c r="A74" s="290"/>
      <c r="B74" s="226"/>
      <c r="C74" s="238"/>
      <c r="D74" s="276"/>
      <c r="E74" s="276"/>
      <c r="F74" s="282"/>
      <c r="G74" s="226">
        <v>831.84</v>
      </c>
      <c r="H74" s="226">
        <v>794.54</v>
      </c>
      <c r="I74" s="238">
        <v>2.5</v>
      </c>
      <c r="J74" s="276" t="s">
        <v>204</v>
      </c>
      <c r="K74" s="276"/>
      <c r="M74" s="295">
        <v>2023</v>
      </c>
      <c r="N74" s="226">
        <v>921.63</v>
      </c>
      <c r="O74" s="227">
        <v>5.73</v>
      </c>
      <c r="P74" s="228"/>
      <c r="R74" s="130"/>
    </row>
    <row r="75" spans="1:24" ht="10.5" customHeight="1" x14ac:dyDescent="0.2">
      <c r="A75" s="290"/>
      <c r="B75" s="226"/>
      <c r="C75" s="238"/>
      <c r="D75" s="276"/>
      <c r="E75" s="276"/>
      <c r="F75" s="282"/>
      <c r="G75" s="226">
        <v>852.63</v>
      </c>
      <c r="H75" s="226">
        <v>814.4</v>
      </c>
      <c r="I75" s="238">
        <v>2.5</v>
      </c>
      <c r="J75" s="276" t="s">
        <v>205</v>
      </c>
      <c r="K75" s="276"/>
      <c r="M75" s="295">
        <v>2024</v>
      </c>
      <c r="N75" s="226">
        <v>944.43</v>
      </c>
      <c r="O75" s="227">
        <v>2.4700000000000002</v>
      </c>
      <c r="P75" s="228"/>
      <c r="R75" s="130"/>
      <c r="S75" s="130"/>
    </row>
    <row r="76" spans="1:24" ht="10.5" customHeight="1" x14ac:dyDescent="0.2">
      <c r="A76" s="290"/>
      <c r="B76" s="226"/>
      <c r="C76" s="238"/>
      <c r="D76" s="276"/>
      <c r="E76" s="276"/>
      <c r="F76" s="282"/>
      <c r="G76" s="226">
        <v>873.94</v>
      </c>
      <c r="H76" s="226">
        <v>834.76</v>
      </c>
      <c r="I76" s="238">
        <v>2.5</v>
      </c>
      <c r="J76" s="276" t="s">
        <v>206</v>
      </c>
      <c r="K76" s="276"/>
      <c r="M76" s="295">
        <v>2025</v>
      </c>
      <c r="N76" s="226">
        <v>960.17</v>
      </c>
      <c r="O76" s="227">
        <v>1.67</v>
      </c>
      <c r="P76" s="228"/>
      <c r="R76" s="130"/>
    </row>
    <row r="77" spans="1:24" ht="11.25" customHeight="1" x14ac:dyDescent="0.2">
      <c r="A77" s="291"/>
      <c r="B77" s="282"/>
      <c r="C77" s="282"/>
      <c r="D77" s="282"/>
      <c r="E77" s="282"/>
      <c r="F77" s="282"/>
      <c r="G77" s="226">
        <v>895.78</v>
      </c>
      <c r="H77" s="226">
        <v>855.62</v>
      </c>
      <c r="I77" s="238">
        <v>2.5</v>
      </c>
      <c r="J77" s="276" t="s">
        <v>207</v>
      </c>
      <c r="K77" s="276"/>
      <c r="M77" s="238"/>
      <c r="N77" s="226"/>
      <c r="O77" s="227"/>
      <c r="P77" s="228"/>
      <c r="R77" s="130"/>
    </row>
    <row r="78" spans="1:24" ht="11.25" customHeight="1" x14ac:dyDescent="0.2">
      <c r="A78" s="291"/>
      <c r="B78" s="282"/>
      <c r="C78" s="282"/>
      <c r="D78" s="282"/>
      <c r="E78" s="282"/>
      <c r="F78" s="282"/>
      <c r="G78" s="226">
        <v>918.17</v>
      </c>
      <c r="H78" s="226">
        <v>877.01</v>
      </c>
      <c r="I78" s="238">
        <v>2.5</v>
      </c>
      <c r="J78" s="276" t="s">
        <v>208</v>
      </c>
      <c r="K78" s="276"/>
      <c r="M78" s="238"/>
      <c r="N78" s="226"/>
      <c r="O78" s="227"/>
      <c r="P78" s="228"/>
      <c r="R78" s="130"/>
    </row>
    <row r="79" spans="1:24" ht="11.25" customHeight="1" x14ac:dyDescent="0.2">
      <c r="A79" s="291"/>
      <c r="B79" s="282"/>
      <c r="C79" s="282"/>
      <c r="D79" s="282"/>
      <c r="E79" s="282"/>
      <c r="F79" s="282"/>
      <c r="G79" s="226">
        <v>964.64</v>
      </c>
      <c r="H79" s="226">
        <v>898.93</v>
      </c>
      <c r="I79" s="238">
        <v>2.5</v>
      </c>
      <c r="J79" s="276" t="s">
        <v>209</v>
      </c>
      <c r="K79" s="276"/>
      <c r="M79" s="238"/>
      <c r="N79" s="226"/>
      <c r="O79" s="227"/>
      <c r="P79" s="228"/>
      <c r="R79" s="130"/>
      <c r="S79" s="130"/>
    </row>
    <row r="80" spans="1:24" ht="11.25" customHeight="1" x14ac:dyDescent="0.2">
      <c r="A80" s="291"/>
      <c r="B80" s="282"/>
      <c r="C80" s="282"/>
      <c r="D80" s="282"/>
      <c r="E80" s="282"/>
      <c r="F80" s="282"/>
      <c r="G80" s="226">
        <v>941.12</v>
      </c>
      <c r="H80" s="226">
        <v>921.4</v>
      </c>
      <c r="I80" s="238">
        <v>2.5</v>
      </c>
      <c r="J80" s="276" t="s">
        <v>210</v>
      </c>
      <c r="K80" s="276"/>
      <c r="M80" s="238"/>
      <c r="N80" s="226"/>
      <c r="O80" s="227"/>
      <c r="P80" s="228"/>
      <c r="R80" s="130"/>
      <c r="S80" s="130"/>
    </row>
    <row r="81" spans="1:19" ht="11.25" customHeight="1" x14ac:dyDescent="0.2">
      <c r="A81" s="291"/>
      <c r="B81" s="282"/>
      <c r="C81" s="282"/>
      <c r="D81" s="282"/>
      <c r="E81" s="282"/>
      <c r="G81" s="226">
        <v>988.75</v>
      </c>
      <c r="H81" s="226">
        <v>944.43</v>
      </c>
      <c r="I81" s="238">
        <v>2.5</v>
      </c>
      <c r="J81" s="276" t="s">
        <v>211</v>
      </c>
      <c r="K81" s="276"/>
      <c r="M81" s="238"/>
      <c r="N81" s="226"/>
      <c r="O81" s="227"/>
      <c r="P81" s="228"/>
      <c r="R81" s="130"/>
      <c r="S81" s="130"/>
    </row>
    <row r="82" spans="1:19" ht="11.25" customHeight="1" x14ac:dyDescent="0.2">
      <c r="A82" s="291"/>
      <c r="B82" s="282"/>
      <c r="C82" s="282"/>
      <c r="D82" s="282"/>
      <c r="E82" s="282"/>
      <c r="G82" s="226">
        <v>1013.46</v>
      </c>
      <c r="H82" s="226">
        <v>968.04</v>
      </c>
      <c r="I82" s="295">
        <v>2.5</v>
      </c>
      <c r="J82" s="276" t="s">
        <v>326</v>
      </c>
      <c r="K82" s="276"/>
      <c r="M82" s="295"/>
      <c r="N82" s="226"/>
      <c r="O82" s="227"/>
      <c r="P82" s="228"/>
      <c r="R82" s="130"/>
      <c r="S82" s="130"/>
    </row>
    <row r="83" spans="1:19" ht="11.25" customHeight="1" x14ac:dyDescent="0.2">
      <c r="A83" s="291"/>
      <c r="B83" s="282"/>
      <c r="C83" s="282"/>
      <c r="D83" s="282"/>
      <c r="E83" s="282"/>
      <c r="F83" s="282"/>
      <c r="G83" s="226"/>
      <c r="H83" s="226"/>
      <c r="I83" s="238"/>
      <c r="J83" s="276"/>
      <c r="K83" s="276"/>
      <c r="M83" s="238"/>
      <c r="N83" s="226"/>
      <c r="O83" s="227"/>
      <c r="P83" s="228"/>
      <c r="R83" s="130"/>
      <c r="S83" s="130"/>
    </row>
    <row r="84" spans="1:19" ht="3" customHeight="1" x14ac:dyDescent="0.2">
      <c r="A84" s="292"/>
      <c r="B84" s="282"/>
      <c r="C84" s="282"/>
      <c r="D84" s="282"/>
      <c r="E84" s="282"/>
      <c r="F84" s="282"/>
      <c r="P84" s="293"/>
    </row>
    <row r="85" spans="1:19" ht="159.75" customHeight="1" x14ac:dyDescent="0.2">
      <c r="A85" s="376" t="s">
        <v>327</v>
      </c>
      <c r="B85" s="377"/>
      <c r="C85" s="377"/>
      <c r="D85" s="377"/>
      <c r="E85" s="377"/>
      <c r="F85" s="377"/>
      <c r="G85" s="377"/>
      <c r="H85" s="377"/>
      <c r="I85" s="377"/>
      <c r="J85" s="377"/>
      <c r="K85" s="377"/>
      <c r="L85" s="377"/>
      <c r="M85" s="377"/>
      <c r="N85" s="377"/>
      <c r="O85" s="377"/>
      <c r="P85" s="377"/>
    </row>
    <row r="86" spans="1:19" ht="20.25" customHeight="1" x14ac:dyDescent="0.2">
      <c r="A86" s="282"/>
      <c r="B86" s="282"/>
      <c r="C86" s="282"/>
      <c r="D86" s="282"/>
      <c r="E86" s="282"/>
      <c r="F86" s="282"/>
      <c r="G86" s="226"/>
      <c r="H86" s="226"/>
      <c r="I86" s="238"/>
      <c r="J86" s="282"/>
      <c r="K86" s="282"/>
      <c r="L86" s="282"/>
      <c r="N86" s="294"/>
    </row>
    <row r="87" spans="1:19" ht="2.25" customHeight="1" x14ac:dyDescent="0.2">
      <c r="A87" s="282"/>
      <c r="B87" s="282"/>
      <c r="C87" s="282"/>
      <c r="D87" s="282"/>
      <c r="E87" s="282"/>
      <c r="F87" s="282"/>
      <c r="G87" s="226"/>
      <c r="H87" s="226"/>
      <c r="I87" s="238"/>
      <c r="J87" s="282"/>
      <c r="K87" s="282"/>
      <c r="L87" s="282"/>
      <c r="P87" s="294"/>
    </row>
    <row r="88" spans="1:19" ht="20.25" customHeight="1" x14ac:dyDescent="0.2"/>
    <row r="89" spans="1:19" ht="20.25" customHeight="1" x14ac:dyDescent="0.2"/>
    <row r="92" spans="1:19" s="229" customFormat="1" ht="15" x14ac:dyDescent="0.25"/>
    <row r="93" spans="1:19" ht="9.75" customHeight="1" x14ac:dyDescent="0.2"/>
  </sheetData>
  <mergeCells count="16">
    <mergeCell ref="C24:P24"/>
    <mergeCell ref="A3:P3"/>
    <mergeCell ref="A5:B7"/>
    <mergeCell ref="C6:P6"/>
    <mergeCell ref="C8:P8"/>
    <mergeCell ref="C16:P16"/>
    <mergeCell ref="A54:B54"/>
    <mergeCell ref="D54:E54"/>
    <mergeCell ref="J54:K54"/>
    <mergeCell ref="O54:P54"/>
    <mergeCell ref="A85:P85"/>
    <mergeCell ref="C32:P32"/>
    <mergeCell ref="C34:P34"/>
    <mergeCell ref="C42:P42"/>
    <mergeCell ref="A51:P51"/>
    <mergeCell ref="M52:P52"/>
  </mergeCells>
  <printOptions horizontalCentered="1"/>
  <pageMargins left="0" right="0" top="0" bottom="0" header="0.51181102362204722" footer="0.51181102362204722"/>
  <pageSetup paperSize="9" scale="69" orientation="portrait" r:id="rId1"/>
  <headerFooter alignWithMargins="0">
    <oddFooter>&amp;L1 valeur révisé le 09.08.2023</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Calcul du loyer indexé</vt:lpstr>
      <vt:lpstr>Calcul RND</vt:lpstr>
      <vt:lpstr>Settings</vt:lpstr>
      <vt:lpstr>Barême Loi</vt:lpstr>
      <vt:lpstr>Indice A1</vt:lpstr>
      <vt:lpstr>_ech1</vt:lpstr>
      <vt:lpstr>'Calcul RND'!ANNEE_PROF_B</vt:lpstr>
      <vt:lpstr>'Calcul RND'!ANNEE_PROF_C</vt:lpstr>
      <vt:lpstr>'Calcul RND'!ANNEE_PROF_D</vt:lpstr>
      <vt:lpstr>ech</vt:lpstr>
      <vt:lpstr>ECHMOB</vt:lpstr>
      <vt:lpstr>fr_1948</vt:lpstr>
      <vt:lpstr>fr_2005</vt:lpstr>
      <vt:lpstr>fr_ech</vt:lpstr>
      <vt:lpstr>fr_inf</vt:lpstr>
      <vt:lpstr>'Calcul RND'!INTERVENANT_A</vt:lpstr>
      <vt:lpstr>'Calcul RND'!INTERVENANT_B</vt:lpstr>
      <vt:lpstr>'Calcul RND'!INTERVENANT_C</vt:lpstr>
      <vt:lpstr>'Calcul RND'!INTERVENANT_D</vt:lpstr>
      <vt:lpstr>'Calcul RND'!NOMBRE_ENFANTS</vt:lpstr>
      <vt:lpstr>'Barême Loi'!Print_Area</vt:lpstr>
      <vt:lpstr>'Calcul du loyer indexé'!Print_Area</vt:lpstr>
      <vt:lpstr>'Calcul RND'!Print_Area</vt:lpstr>
      <vt:lpstr>'Indice A1'!Print_Area</vt:lpstr>
      <vt:lpstr>'Calcul RND'!REVENUS_A</vt:lpstr>
      <vt:lpstr>'Calcul RND'!REVENUS_B</vt:lpstr>
      <vt:lpstr>'Calcul RND'!REVENUS_C</vt:lpstr>
      <vt:lpstr>'Calcul RND'!REVENUS_D</vt:lpstr>
      <vt:lpstr>'Calcul RND'!TYPE_COMMUNAUTE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Zebrowsky</dc:creator>
  <cp:lastModifiedBy>Julien Zebrowsky</cp:lastModifiedBy>
  <cp:lastPrinted>2023-10-05T10:02:53Z</cp:lastPrinted>
  <dcterms:created xsi:type="dcterms:W3CDTF">2023-10-03T09:43:00Z</dcterms:created>
  <dcterms:modified xsi:type="dcterms:W3CDTF">2026-01-22T09:47:34Z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ies>
</file>